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defaultThemeVersion="166925"/>
  <mc:AlternateContent xmlns:mc="http://schemas.openxmlformats.org/markup-compatibility/2006">
    <mc:Choice Requires="x15">
      <x15ac:absPath xmlns:x15ac="http://schemas.microsoft.com/office/spreadsheetml/2010/11/ac" url="https://d.docs.live.net/0c4f7e32cabaa008/Desktop/ICEDIG Collection/D8.2/"/>
    </mc:Choice>
  </mc:AlternateContent>
  <xr:revisionPtr revIDLastSave="2" documentId="13_ncr:1_{6B823CFE-3886-424D-BD18-7D799AA0F22F}" xr6:coauthVersionLast="45" xr6:coauthVersionMax="45" xr10:uidLastSave="{D587A9B9-0DB6-4050-8541-153DD5894BDC}"/>
  <bookViews>
    <workbookView xWindow="-120" yWindow="-120" windowWidth="29040" windowHeight="15840" tabRatio="758" firstSheet="8" activeTab="12" xr2:uid="{00000000-000D-0000-FFFF-FFFF00000000}"/>
  </bookViews>
  <sheets>
    <sheet name="RBINS µCT" sheetId="10" r:id="rId1"/>
    <sheet name="RBINS Focus Stacking" sheetId="11" r:id="rId2"/>
    <sheet name="RBINS Photogrammetry &lt; 30 cm" sheetId="12" r:id="rId3"/>
    <sheet name="RBINS Photogrammetry &lt; 1 m" sheetId="13" r:id="rId4"/>
    <sheet name="RBINS Photogrammetry &gt; 1 m" sheetId="14" r:id="rId5"/>
    <sheet name="RBINS Structured Light &lt; 5 cm" sheetId="17" r:id="rId6"/>
    <sheet name="RBINS Structured Light 5-50 cm" sheetId="16" r:id="rId7"/>
    <sheet name="RBINS Structured Light 50-100cm" sheetId="15" r:id="rId8"/>
    <sheet name="RBINS Multispectral Imaging 2D" sheetId="18" r:id="rId9"/>
    <sheet name="RBINS Multispectral Imaging 3D" sheetId="19" r:id="rId10"/>
    <sheet name="RBINS Insect boxes 2D" sheetId="20" r:id="rId11"/>
    <sheet name="RBINS Microscope Slides" sheetId="21" r:id="rId12"/>
    <sheet name="RBINS Encoding Metadata" sheetId="22" r:id="rId13"/>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5" i="22" l="1"/>
  <c r="C56" i="22" s="1"/>
  <c r="C51" i="22"/>
  <c r="I39" i="22"/>
  <c r="G36" i="22"/>
  <c r="C53" i="22" s="1"/>
  <c r="F36" i="22"/>
  <c r="C36" i="22"/>
  <c r="G31" i="22"/>
  <c r="I31" i="22" s="1"/>
  <c r="I30" i="22"/>
  <c r="G30" i="22"/>
  <c r="G29" i="22"/>
  <c r="I29" i="22" s="1"/>
  <c r="I28" i="22"/>
  <c r="G28" i="22"/>
  <c r="G27" i="22"/>
  <c r="I27" i="22" s="1"/>
  <c r="I18" i="22"/>
  <c r="I17" i="22"/>
  <c r="I16" i="22"/>
  <c r="I15" i="22"/>
  <c r="I14" i="22"/>
  <c r="I23" i="22" s="1"/>
  <c r="I10" i="22"/>
  <c r="K10" i="22" s="1"/>
  <c r="C2" i="22"/>
  <c r="L10" i="22" s="1"/>
  <c r="C55" i="21"/>
  <c r="C56" i="21" s="1"/>
  <c r="I39" i="21"/>
  <c r="G36" i="21"/>
  <c r="C53" i="21" s="1"/>
  <c r="F36" i="21"/>
  <c r="C36" i="21"/>
  <c r="C51" i="21" s="1"/>
  <c r="G31" i="21"/>
  <c r="G30" i="21"/>
  <c r="I30" i="21" s="1"/>
  <c r="G29" i="21"/>
  <c r="G28" i="21"/>
  <c r="I28" i="21" s="1"/>
  <c r="G27" i="21"/>
  <c r="I18" i="21"/>
  <c r="I17" i="21"/>
  <c r="I16" i="21"/>
  <c r="I15" i="21"/>
  <c r="I14" i="21"/>
  <c r="I10" i="21"/>
  <c r="L10" i="21" s="1"/>
  <c r="C2" i="21"/>
  <c r="C55" i="20"/>
  <c r="C56" i="20" s="1"/>
  <c r="I39" i="20"/>
  <c r="G36" i="20"/>
  <c r="F36" i="20"/>
  <c r="C36" i="20"/>
  <c r="I31" i="20" s="1"/>
  <c r="G31" i="20"/>
  <c r="G30" i="20"/>
  <c r="G29" i="20"/>
  <c r="G28" i="20"/>
  <c r="G27" i="20"/>
  <c r="I18" i="20"/>
  <c r="I17" i="20"/>
  <c r="I16" i="20"/>
  <c r="I15" i="20"/>
  <c r="I14" i="20"/>
  <c r="L10" i="20"/>
  <c r="I10" i="20"/>
  <c r="K10" i="20" s="1"/>
  <c r="C2" i="20"/>
  <c r="C55" i="19"/>
  <c r="C56" i="19" s="1"/>
  <c r="I39" i="19"/>
  <c r="G36" i="19"/>
  <c r="F36" i="19"/>
  <c r="C36" i="19"/>
  <c r="C51" i="19" s="1"/>
  <c r="G31" i="19"/>
  <c r="I31" i="19" s="1"/>
  <c r="I30" i="19"/>
  <c r="G30" i="19"/>
  <c r="G29" i="19"/>
  <c r="I29" i="19" s="1"/>
  <c r="I28" i="19"/>
  <c r="G28" i="19"/>
  <c r="G27" i="19"/>
  <c r="I27" i="19" s="1"/>
  <c r="I18" i="19"/>
  <c r="I17" i="19"/>
  <c r="I16" i="19"/>
  <c r="I15" i="19"/>
  <c r="I14" i="19"/>
  <c r="I23" i="19" s="1"/>
  <c r="I10" i="19"/>
  <c r="K10" i="19" s="1"/>
  <c r="C2" i="19"/>
  <c r="L10" i="19" s="1"/>
  <c r="C55" i="18"/>
  <c r="C56" i="18" s="1"/>
  <c r="I39" i="18"/>
  <c r="G36" i="18"/>
  <c r="C53" i="18" s="1"/>
  <c r="F36" i="18"/>
  <c r="C36" i="18"/>
  <c r="C51" i="18" s="1"/>
  <c r="G31" i="18"/>
  <c r="I31" i="18" s="1"/>
  <c r="G30" i="18"/>
  <c r="I30" i="18" s="1"/>
  <c r="G29" i="18"/>
  <c r="I29" i="18" s="1"/>
  <c r="G28" i="18"/>
  <c r="I28" i="18" s="1"/>
  <c r="G27" i="18"/>
  <c r="I27" i="18" s="1"/>
  <c r="I18" i="18"/>
  <c r="I17" i="18"/>
  <c r="I16" i="18"/>
  <c r="I15" i="18"/>
  <c r="I14" i="18"/>
  <c r="I10" i="18"/>
  <c r="K10" i="18" s="1"/>
  <c r="C2" i="18"/>
  <c r="C55" i="17"/>
  <c r="C56" i="17" s="1"/>
  <c r="C53" i="17"/>
  <c r="C51" i="17"/>
  <c r="I39" i="17"/>
  <c r="G36" i="17"/>
  <c r="I43" i="17" s="1"/>
  <c r="F36" i="17"/>
  <c r="C36" i="17"/>
  <c r="I31" i="17"/>
  <c r="G31" i="17"/>
  <c r="I30" i="17"/>
  <c r="G30" i="17"/>
  <c r="I29" i="17"/>
  <c r="G29" i="17"/>
  <c r="I28" i="17"/>
  <c r="G28" i="17"/>
  <c r="I27" i="17"/>
  <c r="G27" i="17"/>
  <c r="I18" i="17"/>
  <c r="I17" i="17"/>
  <c r="I16" i="17"/>
  <c r="I15" i="17"/>
  <c r="I14" i="17"/>
  <c r="I10" i="17"/>
  <c r="K10" i="17" s="1"/>
  <c r="C2" i="17"/>
  <c r="C55" i="16"/>
  <c r="C56" i="16" s="1"/>
  <c r="I39" i="16"/>
  <c r="G36" i="16"/>
  <c r="I43" i="16" s="1"/>
  <c r="F36" i="16"/>
  <c r="C36" i="16"/>
  <c r="C51" i="16" s="1"/>
  <c r="G31" i="16"/>
  <c r="I31" i="16" s="1"/>
  <c r="I30" i="16"/>
  <c r="G30" i="16"/>
  <c r="G29" i="16"/>
  <c r="I29" i="16" s="1"/>
  <c r="I28" i="16"/>
  <c r="G28" i="16"/>
  <c r="G27" i="16"/>
  <c r="I27" i="16" s="1"/>
  <c r="I18" i="16"/>
  <c r="I17" i="16"/>
  <c r="I16" i="16"/>
  <c r="I15" i="16"/>
  <c r="I14" i="16"/>
  <c r="I23" i="16" s="1"/>
  <c r="I10" i="16"/>
  <c r="K10" i="16" s="1"/>
  <c r="C2" i="16"/>
  <c r="L10" i="16" s="1"/>
  <c r="C55" i="15"/>
  <c r="C56" i="15" s="1"/>
  <c r="C51" i="15"/>
  <c r="I39" i="15"/>
  <c r="G36" i="15"/>
  <c r="I43" i="15" s="1"/>
  <c r="F36" i="15"/>
  <c r="C36" i="15"/>
  <c r="G31" i="15"/>
  <c r="I31" i="15" s="1"/>
  <c r="I30" i="15"/>
  <c r="G30" i="15"/>
  <c r="G29" i="15"/>
  <c r="I29" i="15" s="1"/>
  <c r="I28" i="15"/>
  <c r="G28" i="15"/>
  <c r="G27" i="15"/>
  <c r="I27" i="15" s="1"/>
  <c r="I18" i="15"/>
  <c r="I17" i="15"/>
  <c r="I16" i="15"/>
  <c r="I15" i="15"/>
  <c r="I14" i="15"/>
  <c r="I23" i="15" s="1"/>
  <c r="I10" i="15"/>
  <c r="K10" i="15" s="1"/>
  <c r="C2" i="15"/>
  <c r="L10" i="15" s="1"/>
  <c r="C55" i="14"/>
  <c r="C56" i="14" s="1"/>
  <c r="I39" i="14"/>
  <c r="G36" i="14"/>
  <c r="C53" i="14" s="1"/>
  <c r="F36" i="14"/>
  <c r="C36" i="14"/>
  <c r="G31" i="14"/>
  <c r="I31" i="14" s="1"/>
  <c r="I30" i="14"/>
  <c r="G30" i="14"/>
  <c r="G29" i="14"/>
  <c r="I29" i="14" s="1"/>
  <c r="I28" i="14"/>
  <c r="G28" i="14"/>
  <c r="G27" i="14"/>
  <c r="I27" i="14" s="1"/>
  <c r="I18" i="14"/>
  <c r="I17" i="14"/>
  <c r="I16" i="14"/>
  <c r="I15" i="14"/>
  <c r="I14" i="14"/>
  <c r="I23" i="14" s="1"/>
  <c r="K10" i="14"/>
  <c r="I10" i="14"/>
  <c r="C2" i="14"/>
  <c r="L10" i="14" s="1"/>
  <c r="C55" i="13"/>
  <c r="C56" i="13" s="1"/>
  <c r="C51" i="13"/>
  <c r="I39" i="13"/>
  <c r="G36" i="13"/>
  <c r="C53" i="13" s="1"/>
  <c r="F36" i="13"/>
  <c r="C36" i="13"/>
  <c r="G31" i="13"/>
  <c r="I31" i="13" s="1"/>
  <c r="I30" i="13"/>
  <c r="G30" i="13"/>
  <c r="G29" i="13"/>
  <c r="I29" i="13" s="1"/>
  <c r="I28" i="13"/>
  <c r="G28" i="13"/>
  <c r="G27" i="13"/>
  <c r="I27" i="13" s="1"/>
  <c r="I18" i="13"/>
  <c r="I17" i="13"/>
  <c r="I16" i="13"/>
  <c r="I15" i="13"/>
  <c r="I14" i="13"/>
  <c r="I23" i="13" s="1"/>
  <c r="L10" i="13"/>
  <c r="I10" i="13"/>
  <c r="K10" i="13" s="1"/>
  <c r="C2" i="13"/>
  <c r="C56" i="12"/>
  <c r="C55" i="12"/>
  <c r="C51" i="12"/>
  <c r="I39" i="12"/>
  <c r="G36" i="12"/>
  <c r="C53" i="12" s="1"/>
  <c r="F36" i="12"/>
  <c r="C36" i="12"/>
  <c r="I31" i="12"/>
  <c r="G31" i="12"/>
  <c r="G30" i="12"/>
  <c r="I30" i="12" s="1"/>
  <c r="I29" i="12"/>
  <c r="G29" i="12"/>
  <c r="G28" i="12"/>
  <c r="I28" i="12" s="1"/>
  <c r="I27" i="12"/>
  <c r="G27" i="12"/>
  <c r="I18" i="12"/>
  <c r="I17" i="12"/>
  <c r="I16" i="12"/>
  <c r="I15" i="12"/>
  <c r="I14" i="12"/>
  <c r="I10" i="12"/>
  <c r="L10" i="12" s="1"/>
  <c r="C2" i="12"/>
  <c r="C55" i="11"/>
  <c r="C56" i="11" s="1"/>
  <c r="I39" i="11"/>
  <c r="G36" i="11"/>
  <c r="I43" i="11" s="1"/>
  <c r="F36" i="11"/>
  <c r="C36" i="11"/>
  <c r="C53" i="11" s="1"/>
  <c r="G31" i="11"/>
  <c r="I31" i="11" s="1"/>
  <c r="G30" i="11"/>
  <c r="I30" i="11" s="1"/>
  <c r="G29" i="11"/>
  <c r="I29" i="11" s="1"/>
  <c r="I28" i="11"/>
  <c r="G28" i="11"/>
  <c r="G27" i="11"/>
  <c r="I27" i="11" s="1"/>
  <c r="I18" i="11"/>
  <c r="I17" i="11"/>
  <c r="I16" i="11"/>
  <c r="I15" i="11"/>
  <c r="I14" i="11"/>
  <c r="I10" i="11"/>
  <c r="K10" i="11" s="1"/>
  <c r="C2" i="11"/>
  <c r="L10" i="11" s="1"/>
  <c r="I43" i="22" l="1"/>
  <c r="C52" i="22"/>
  <c r="I59" i="22" s="1"/>
  <c r="K23" i="22"/>
  <c r="L23" i="22"/>
  <c r="L43" i="22"/>
  <c r="K43" i="22"/>
  <c r="I23" i="21"/>
  <c r="K23" i="21" s="1"/>
  <c r="K10" i="21"/>
  <c r="I43" i="21"/>
  <c r="I27" i="21"/>
  <c r="I29" i="21"/>
  <c r="I31" i="21"/>
  <c r="I30" i="20"/>
  <c r="C53" i="20"/>
  <c r="I28" i="20"/>
  <c r="I43" i="20"/>
  <c r="K43" i="20" s="1"/>
  <c r="C51" i="20"/>
  <c r="I27" i="20"/>
  <c r="I29" i="20"/>
  <c r="I23" i="20"/>
  <c r="C52" i="20" s="1"/>
  <c r="I43" i="19"/>
  <c r="L43" i="19" s="1"/>
  <c r="C53" i="19"/>
  <c r="C52" i="19"/>
  <c r="K23" i="19"/>
  <c r="L23" i="19"/>
  <c r="I23" i="18"/>
  <c r="C52" i="18" s="1"/>
  <c r="L10" i="18"/>
  <c r="I23" i="17"/>
  <c r="K23" i="17" s="1"/>
  <c r="L10" i="17"/>
  <c r="L23" i="18"/>
  <c r="I43" i="18"/>
  <c r="K43" i="17"/>
  <c r="L43" i="17"/>
  <c r="C53" i="16"/>
  <c r="C52" i="16"/>
  <c r="K23" i="16"/>
  <c r="L23" i="16"/>
  <c r="C59" i="16"/>
  <c r="L43" i="16"/>
  <c r="K43" i="16"/>
  <c r="C53" i="15"/>
  <c r="C52" i="15"/>
  <c r="C59" i="15" s="1"/>
  <c r="K23" i="15"/>
  <c r="L23" i="15"/>
  <c r="K43" i="15"/>
  <c r="L43" i="15"/>
  <c r="I43" i="14"/>
  <c r="C52" i="14"/>
  <c r="I59" i="14" s="1"/>
  <c r="K23" i="14"/>
  <c r="L23" i="14"/>
  <c r="K43" i="14"/>
  <c r="L43" i="14"/>
  <c r="C59" i="14"/>
  <c r="C51" i="14"/>
  <c r="I43" i="13"/>
  <c r="L43" i="13" s="1"/>
  <c r="C52" i="13"/>
  <c r="C59" i="13" s="1"/>
  <c r="K23" i="13"/>
  <c r="L23" i="13"/>
  <c r="I59" i="13"/>
  <c r="I43" i="12"/>
  <c r="K43" i="12" s="1"/>
  <c r="I23" i="12"/>
  <c r="L23" i="12" s="1"/>
  <c r="K10" i="12"/>
  <c r="C51" i="11"/>
  <c r="I23" i="11"/>
  <c r="C52" i="11" s="1"/>
  <c r="I59" i="11" s="1"/>
  <c r="L43" i="11"/>
  <c r="K43" i="11"/>
  <c r="C55" i="10"/>
  <c r="C56" i="10" s="1"/>
  <c r="I39" i="10"/>
  <c r="F36" i="10"/>
  <c r="G36" i="10" s="1"/>
  <c r="C36" i="10"/>
  <c r="C51" i="10" s="1"/>
  <c r="G31" i="10"/>
  <c r="G30" i="10"/>
  <c r="G29" i="10"/>
  <c r="G28" i="10"/>
  <c r="G27" i="10"/>
  <c r="I18" i="10"/>
  <c r="I17" i="10"/>
  <c r="I16" i="10"/>
  <c r="I15" i="10"/>
  <c r="I14" i="10"/>
  <c r="I10" i="10"/>
  <c r="C2" i="10"/>
  <c r="I59" i="19" l="1"/>
  <c r="L10" i="10"/>
  <c r="I59" i="15"/>
  <c r="C59" i="19"/>
  <c r="C59" i="22"/>
  <c r="L59" i="22"/>
  <c r="K59" i="22"/>
  <c r="C52" i="21"/>
  <c r="I59" i="21" s="1"/>
  <c r="L59" i="21" s="1"/>
  <c r="L23" i="21"/>
  <c r="L43" i="21"/>
  <c r="K43" i="21"/>
  <c r="L43" i="20"/>
  <c r="L23" i="20"/>
  <c r="I59" i="20"/>
  <c r="L59" i="20" s="1"/>
  <c r="C59" i="20"/>
  <c r="C63" i="20" s="1"/>
  <c r="K23" i="20"/>
  <c r="K43" i="19"/>
  <c r="C60" i="19"/>
  <c r="C63" i="19"/>
  <c r="D63" i="19"/>
  <c r="L59" i="19"/>
  <c r="K59" i="19"/>
  <c r="C52" i="17"/>
  <c r="I59" i="17" s="1"/>
  <c r="K59" i="17" s="1"/>
  <c r="I59" i="16"/>
  <c r="I59" i="18"/>
  <c r="K59" i="18" s="1"/>
  <c r="C59" i="18"/>
  <c r="D63" i="18" s="1"/>
  <c r="K23" i="18"/>
  <c r="L23" i="17"/>
  <c r="L59" i="18"/>
  <c r="L43" i="18"/>
  <c r="K43" i="18"/>
  <c r="C60" i="16"/>
  <c r="D63" i="16"/>
  <c r="C63" i="16"/>
  <c r="K59" i="16"/>
  <c r="L59" i="16"/>
  <c r="L59" i="15"/>
  <c r="K59" i="15"/>
  <c r="C60" i="15"/>
  <c r="D63" i="15"/>
  <c r="C63" i="15"/>
  <c r="L59" i="14"/>
  <c r="K59" i="14"/>
  <c r="C60" i="14"/>
  <c r="C63" i="14"/>
  <c r="D63" i="14"/>
  <c r="K43" i="13"/>
  <c r="C60" i="13"/>
  <c r="D63" i="13"/>
  <c r="C63" i="13"/>
  <c r="L59" i="13"/>
  <c r="K59" i="13"/>
  <c r="L43" i="12"/>
  <c r="K23" i="12"/>
  <c r="C52" i="12"/>
  <c r="I23" i="10"/>
  <c r="C52" i="10" s="1"/>
  <c r="I28" i="10"/>
  <c r="I31" i="10"/>
  <c r="L23" i="11"/>
  <c r="K23" i="11"/>
  <c r="C59" i="11"/>
  <c r="C60" i="11" s="1"/>
  <c r="L59" i="11"/>
  <c r="K59" i="11"/>
  <c r="I29" i="10"/>
  <c r="C53" i="10"/>
  <c r="I27" i="10"/>
  <c r="I30" i="10"/>
  <c r="K10" i="10"/>
  <c r="I43" i="10"/>
  <c r="L59" i="17" l="1"/>
  <c r="C59" i="17"/>
  <c r="C60" i="22"/>
  <c r="D63" i="22"/>
  <c r="C63" i="22"/>
  <c r="K59" i="21"/>
  <c r="C59" i="21"/>
  <c r="D63" i="21" s="1"/>
  <c r="C60" i="20"/>
  <c r="D64" i="20" s="1"/>
  <c r="K59" i="20"/>
  <c r="D63" i="20"/>
  <c r="D64" i="19"/>
  <c r="C64" i="19"/>
  <c r="C63" i="18"/>
  <c r="C60" i="18"/>
  <c r="D64" i="18" s="1"/>
  <c r="C60" i="17"/>
  <c r="C63" i="17"/>
  <c r="D63" i="17"/>
  <c r="D64" i="16"/>
  <c r="C64" i="16"/>
  <c r="D64" i="15"/>
  <c r="C64" i="15"/>
  <c r="D64" i="14"/>
  <c r="C64" i="14"/>
  <c r="D64" i="13"/>
  <c r="C64" i="13"/>
  <c r="C59" i="12"/>
  <c r="I59" i="12"/>
  <c r="L23" i="10"/>
  <c r="K23" i="10"/>
  <c r="I59" i="10"/>
  <c r="L59" i="10" s="1"/>
  <c r="C63" i="11"/>
  <c r="D63" i="11"/>
  <c r="D64" i="11"/>
  <c r="C64" i="11"/>
  <c r="C59" i="10"/>
  <c r="C60" i="10" s="1"/>
  <c r="K43" i="10"/>
  <c r="L43" i="10"/>
  <c r="D64" i="22" l="1"/>
  <c r="C64" i="22"/>
  <c r="C60" i="21"/>
  <c r="C64" i="21" s="1"/>
  <c r="C63" i="21"/>
  <c r="C64" i="20"/>
  <c r="C64" i="18"/>
  <c r="D64" i="17"/>
  <c r="C64" i="17"/>
  <c r="C60" i="12"/>
  <c r="D63" i="12"/>
  <c r="C63" i="12"/>
  <c r="K59" i="12"/>
  <c r="L59" i="12"/>
  <c r="K59" i="10"/>
  <c r="D63" i="10"/>
  <c r="C63" i="10"/>
  <c r="D64" i="10"/>
  <c r="C64" i="10"/>
  <c r="D64" i="21" l="1"/>
  <c r="D64" i="12"/>
  <c r="C64" i="12"/>
</calcChain>
</file>

<file path=xl/sharedStrings.xml><?xml version="1.0" encoding="utf-8"?>
<sst xmlns="http://schemas.openxmlformats.org/spreadsheetml/2006/main" count="2217" uniqueCount="170">
  <si>
    <t>Other</t>
  </si>
  <si>
    <t>Inhouse</t>
  </si>
  <si>
    <t>Outsourced/contract</t>
  </si>
  <si>
    <t>Citizen science</t>
  </si>
  <si>
    <t>Vertebrates specimens</t>
  </si>
  <si>
    <t>Spirit material</t>
  </si>
  <si>
    <t>Mineral specimens</t>
  </si>
  <si>
    <t>Anthropological</t>
  </si>
  <si>
    <t>Pinned insects</t>
  </si>
  <si>
    <t>Palaeontological</t>
  </si>
  <si>
    <t>APM</t>
  </si>
  <si>
    <t>Naturalis</t>
  </si>
  <si>
    <t>LUOMUS</t>
  </si>
  <si>
    <t>UTARTU</t>
  </si>
  <si>
    <t>Task cluster</t>
  </si>
  <si>
    <t>Single specimen</t>
  </si>
  <si>
    <t>Container</t>
  </si>
  <si>
    <t>Drawer</t>
  </si>
  <si>
    <t>Microscope slides</t>
  </si>
  <si>
    <t>Field notebooks</t>
  </si>
  <si>
    <r>
      <t>Room space required for digitisation facility (m</t>
    </r>
    <r>
      <rPr>
        <vertAlign val="superscript"/>
        <sz val="11"/>
        <color theme="1"/>
        <rFont val="Calibri"/>
        <family val="2"/>
        <scheme val="minor"/>
      </rPr>
      <t>2</t>
    </r>
    <r>
      <rPr>
        <sz val="11"/>
        <color theme="1"/>
        <rFont val="Calibri"/>
        <family val="2"/>
        <scheme val="minor"/>
      </rPr>
      <t>):</t>
    </r>
  </si>
  <si>
    <r>
      <t>Space charge (per m</t>
    </r>
    <r>
      <rPr>
        <vertAlign val="superscript"/>
        <sz val="11"/>
        <color theme="1"/>
        <rFont val="Calibri"/>
        <family val="2"/>
        <scheme val="minor"/>
      </rPr>
      <t>2</t>
    </r>
    <r>
      <rPr>
        <sz val="11"/>
        <color theme="1"/>
        <rFont val="Calibri"/>
        <family val="2"/>
        <scheme val="minor"/>
      </rPr>
      <t>), monthly:</t>
    </r>
  </si>
  <si>
    <t>Equipment acquisition, capital cost:</t>
  </si>
  <si>
    <t>Average gross salary, monthly</t>
  </si>
  <si>
    <t>Total fixed costs, annual:</t>
  </si>
  <si>
    <t>Equipment depreciation</t>
  </si>
  <si>
    <t>Annual fixed costs</t>
  </si>
  <si>
    <t>Fixed costs calculator</t>
  </si>
  <si>
    <t>Variable costs calculator</t>
  </si>
  <si>
    <t>Total establishment cost:</t>
  </si>
  <si>
    <t>Establishment (upfront) costs calculator</t>
  </si>
  <si>
    <t>&lt;specimen category&gt;</t>
  </si>
  <si>
    <t>Annual variable costs</t>
  </si>
  <si>
    <t>&lt;unit of digitisation&gt;</t>
  </si>
  <si>
    <t>&lt;batch size&gt;</t>
  </si>
  <si>
    <t>&lt;type of workflow&gt;</t>
  </si>
  <si>
    <t>&lt;type of process&gt;</t>
  </si>
  <si>
    <t>Choose:</t>
  </si>
  <si>
    <t>&lt;number of staff needed for digitisation&gt;</t>
  </si>
  <si>
    <t>Hours in working week</t>
  </si>
  <si>
    <t>Time per batch (hours)</t>
  </si>
  <si>
    <t>Manual</t>
  </si>
  <si>
    <t>Semi-automated</t>
  </si>
  <si>
    <t>Automated</t>
  </si>
  <si>
    <t xml:space="preserve"> Pre-/post-digitisation curation and staging</t>
  </si>
  <si>
    <t xml:space="preserve"> Image processing</t>
  </si>
  <si>
    <t xml:space="preserve"> Preservation / publishing</t>
  </si>
  <si>
    <t>or if split not known,</t>
  </si>
  <si>
    <t>Number of batches per month</t>
  </si>
  <si>
    <t>&lt;select your institution from the drop-down list&gt;</t>
  </si>
  <si>
    <t>Lists needed for form-filling.</t>
  </si>
  <si>
    <t>Institutional overheads, monthly:</t>
  </si>
  <si>
    <t>Other costs, annual</t>
  </si>
  <si>
    <t>Other costs, monthly:</t>
  </si>
  <si>
    <t>Equipment acquisition, other costs:</t>
  </si>
  <si>
    <t>Total variable costs, annual:</t>
  </si>
  <si>
    <t>Consumables, annual</t>
  </si>
  <si>
    <t>enter total time per batch item</t>
  </si>
  <si>
    <t>Number of staff for digitisation (additional to fixed staff)</t>
  </si>
  <si>
    <t>Total overall costs, annual:</t>
  </si>
  <si>
    <t>Annual space charge</t>
  </si>
  <si>
    <t>Annual fixed staff cost</t>
  </si>
  <si>
    <t>Annual overheads</t>
  </si>
  <si>
    <t>Staff labour rate, per hour:</t>
  </si>
  <si>
    <t>Aggregate staff labour rate (fixed + variable), per hour</t>
  </si>
  <si>
    <t>Other fixed costs, total</t>
  </si>
  <si>
    <t>Overall annual throughput and costs calculator</t>
  </si>
  <si>
    <t>Per batch cost (variable cost part)</t>
  </si>
  <si>
    <t>Throughput (number of batches per year)</t>
  </si>
  <si>
    <t>Throughput (number of items per year)</t>
  </si>
  <si>
    <t>Average per item cost (specimen, tray, jar, etc.)</t>
  </si>
  <si>
    <t>Average per batch (variable cost part + proportion fixed costs)</t>
  </si>
  <si>
    <t>In space below, insert comments about variable costs. Say what data fields are captured, to provide an idea of level/degree of digitisation achieved:</t>
  </si>
  <si>
    <t xml:space="preserve"> Specimen image capture</t>
  </si>
  <si>
    <t xml:space="preserve"> Data capture</t>
  </si>
  <si>
    <t>£ Sterling</t>
  </si>
  <si>
    <t>€ Euros</t>
  </si>
  <si>
    <t>$ US Dollars</t>
  </si>
  <si>
    <t>Currency and exchange rates</t>
  </si>
  <si>
    <t>23rd May 2018</t>
  </si>
  <si>
    <t>MNHN</t>
  </si>
  <si>
    <t>RBGK</t>
  </si>
  <si>
    <t>NHMUK</t>
  </si>
  <si>
    <t>&lt;choose currency to use&gt;</t>
  </si>
  <si>
    <t>Belgium</t>
  </si>
  <si>
    <t>Finland</t>
  </si>
  <si>
    <t>France</t>
  </si>
  <si>
    <t>Netherlands</t>
  </si>
  <si>
    <t>Estonia</t>
  </si>
  <si>
    <t>- -</t>
  </si>
  <si>
    <t>Exchange rates table (local currency to euros), source: XE.com</t>
  </si>
  <si>
    <t>PPS</t>
  </si>
  <si>
    <t>Purchasing Power Parities (2017 is latest year for which data is available)</t>
  </si>
  <si>
    <t>EU (28 countries)</t>
  </si>
  <si>
    <t>Bulgaria</t>
  </si>
  <si>
    <t>Czechia</t>
  </si>
  <si>
    <t>Denmark</t>
  </si>
  <si>
    <t>Germany</t>
  </si>
  <si>
    <t>Ireland</t>
  </si>
  <si>
    <t>Greece</t>
  </si>
  <si>
    <t>Spain</t>
  </si>
  <si>
    <t>Croatia</t>
  </si>
  <si>
    <t>Italy</t>
  </si>
  <si>
    <t>Cyprus</t>
  </si>
  <si>
    <t>Latvia</t>
  </si>
  <si>
    <t>Lithuania</t>
  </si>
  <si>
    <t>Luxembourg</t>
  </si>
  <si>
    <t>Hungary</t>
  </si>
  <si>
    <t>Malta</t>
  </si>
  <si>
    <t>Austria</t>
  </si>
  <si>
    <t>Poland</t>
  </si>
  <si>
    <t>Portugal</t>
  </si>
  <si>
    <t>Romania</t>
  </si>
  <si>
    <t>Slovenia</t>
  </si>
  <si>
    <t>Slovakia</t>
  </si>
  <si>
    <t>Sweden</t>
  </si>
  <si>
    <t>United Kingdom</t>
  </si>
  <si>
    <t>Iceland</t>
  </si>
  <si>
    <t>Liechtenstein</t>
  </si>
  <si>
    <t>:</t>
  </si>
  <si>
    <t>Norway</t>
  </si>
  <si>
    <t>Switzerland</t>
  </si>
  <si>
    <t>Montenegro</t>
  </si>
  <si>
    <t>North Macedonia</t>
  </si>
  <si>
    <t>Albania</t>
  </si>
  <si>
    <t>Serbia</t>
  </si>
  <si>
    <t>Turkey</t>
  </si>
  <si>
    <t>Bosnia and Herzegovina</t>
  </si>
  <si>
    <t>Kosovo (under United Nations Security Council Resolution 1244/99)</t>
  </si>
  <si>
    <t>United States</t>
  </si>
  <si>
    <t>Japan</t>
  </si>
  <si>
    <t>Person time spent per batch item (minutes)</t>
  </si>
  <si>
    <t>Time spent (minutes, hours):</t>
  </si>
  <si>
    <t>Depreciation period for capital equipment, years:</t>
  </si>
  <si>
    <t>Cost of consumables (e.g., barcode labels, pins, sticky tape, etc.), per batch</t>
  </si>
  <si>
    <t xml:space="preserve">   (include cloud computing/storage costs if appropriate)</t>
  </si>
  <si>
    <t>Average batch size (no. specimens, containers, drawers, etc.)</t>
  </si>
  <si>
    <t>Herbarium sheets or other plant specimens</t>
  </si>
  <si>
    <t>Note: Other costs can include maintenance</t>
  </si>
  <si>
    <t xml:space="preserve"> contracts, software licenses, electricity, etc.</t>
  </si>
  <si>
    <t>Upgrade costs:</t>
  </si>
  <si>
    <t>Average gross salary, monthly:</t>
  </si>
  <si>
    <t>Number of fixed staff:</t>
  </si>
  <si>
    <t>In space below, as necessary, insert comments about fixed costs:</t>
  </si>
  <si>
    <t>In space below, insert any comments about upfront costs:</t>
  </si>
  <si>
    <t>https://ec.europa.eu/eurostat/tgm/table.do?tab=table&amp;init=1&amp;language=en&amp;pcode=tec00120&amp;plugin=1</t>
  </si>
  <si>
    <t>Royal Belgian Institute for Natural Sciences</t>
  </si>
  <si>
    <t>Scientific Service of Heritage</t>
  </si>
  <si>
    <t>25K euro is the price for changing the tube after 3500 hours of use.</t>
  </si>
  <si>
    <t>Camera (500 euro), Lens set (MP-E 65mm 1000 euro + 60mm 400 euro), StackShot (600 euro), Flash Lights (50 euro), Computer</t>
  </si>
  <si>
    <t>300 euro for Zerene Stacker, every year new batteries, new camera + flashes after 3 years</t>
  </si>
  <si>
    <t>Digitisation of both dry and wet specimens of Paleontology, Anthropology &amp; Prehistory, Recent (In)Vertebrates, Entomology and Geological specimens</t>
  </si>
  <si>
    <t>Mainly digitisation of dry or wet specimens of the Entomology and Recent Invertebrate collections. But other collections are suitable too. Specimen size up to 20 cm.</t>
  </si>
  <si>
    <t>Camera (500 euro), Lens 100mm (450 euro), Light tent (100 euro), Computer</t>
  </si>
  <si>
    <t>300 euro for Agisoft Metashape, new camera after 3 years</t>
  </si>
  <si>
    <t>Digitisation of dry specimens up to 30 cm. Any collection is suitable as long as it is dry and preferably the specimen doesn't have parts that move while changing the orientation.</t>
  </si>
  <si>
    <t>LMI HDI Scanner</t>
  </si>
  <si>
    <t>Digitisation of specimens between 50 cm and 100 cm. The mesh (3D surface) is more important than the texture of the specimen.</t>
  </si>
  <si>
    <t>Digitisation of specimens between 5 cm and 50 cm. The mesh (3D surface) is more important than the texture of the specimen.</t>
  </si>
  <si>
    <t>Digitisation of specimens smaller than 5 cm. The mesh (3D surface) is more important than the texture of the specimen.</t>
  </si>
  <si>
    <t>Digitisation of dry specimens up to 30 cm. Any collection is suitable as long as it is dry and preferably the specimen doesn't have parts that move while changing the orientation. The texture has to be accurate and is equally important as the 3D surface.</t>
  </si>
  <si>
    <t>MechScan</t>
  </si>
  <si>
    <t>Megavision Cultural Heritage EV Imaging System</t>
  </si>
  <si>
    <t>Digitisation of any object in the Natural History and Cultural Heritage collection.</t>
  </si>
  <si>
    <t>Canon 5Ds R (2600 euro), 40 mm (200 euro), Led Panels (80 euro), Tent (120 euro)</t>
  </si>
  <si>
    <t>Digitisation of insect boxes. Manually selecting the boxes in the conservatory, relocating to digitisation facility, removing glass cover, picturing, returning to conservatory.</t>
  </si>
  <si>
    <t>Megavision Cultural Heritage EV Imaging System + Coastal Optics Lens</t>
  </si>
  <si>
    <t>Picturing the specimens on a Microscope slide at high resolution including focus stacking. Manual selecting the specimens and areas of interest.</t>
  </si>
  <si>
    <t>Information in Imaging system (15k euro) + Stacking Microscope System (30k euro)</t>
  </si>
  <si>
    <t>Not possible to fill an accurate depreciation period (Max allowed is 7 years). Added 100 euro per month for a DragonFly annual payed license and the maintenance of 2100 euro a month (incl. tube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</si>
</sst>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2]\ #,##0.00"/>
    <numFmt numFmtId="165" formatCode="[$€-2]\ #,##0"/>
    <numFmt numFmtId="166" formatCode="0.0%"/>
    <numFmt numFmtId="167" formatCode="0.0"/>
  </numFmts>
  <fonts count="9" x14ac:knownFonts="1">
    <font>
      <sz val="11"/>
      <color theme="1"/>
      <name val="Calibri"/>
      <family val="2"/>
      <scheme val="minor"/>
    </font>
    <font>
      <b/>
      <sz val="11"/>
      <color theme="1"/>
      <name val="Calibri"/>
      <family val="2"/>
      <scheme val="minor"/>
    </font>
    <font>
      <vertAlign val="superscript"/>
      <sz val="11"/>
      <color theme="1"/>
      <name val="Calibri"/>
      <family val="2"/>
      <scheme val="minor"/>
    </font>
    <font>
      <b/>
      <sz val="8"/>
      <color theme="1"/>
      <name val="Calibri"/>
      <family val="2"/>
      <scheme val="minor"/>
    </font>
    <font>
      <i/>
      <sz val="11"/>
      <color theme="1"/>
      <name val="Calibri"/>
      <family val="2"/>
      <scheme val="minor"/>
    </font>
    <font>
      <u/>
      <sz val="11"/>
      <color theme="10"/>
      <name val="Calibri"/>
      <family val="2"/>
      <scheme val="minor"/>
    </font>
    <font>
      <b/>
      <sz val="11"/>
      <name val="Calibri"/>
      <family val="2"/>
      <scheme val="minor"/>
    </font>
    <font>
      <b/>
      <sz val="10"/>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5"/>
        <bgColor indexed="64"/>
      </patternFill>
    </fill>
    <fill>
      <patternFill patternType="solid">
        <fgColor theme="4" tint="0.59999389629810485"/>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92">
    <xf numFmtId="0" fontId="0" fillId="0" borderId="0" xfId="0"/>
    <xf numFmtId="0" fontId="1" fillId="3" borderId="9" xfId="0" applyFont="1" applyFill="1" applyBorder="1" applyAlignment="1" applyProtection="1">
      <alignment vertical="center"/>
      <protection locked="0"/>
    </xf>
    <xf numFmtId="3" fontId="0" fillId="3" borderId="9" xfId="0" applyNumberFormat="1" applyFill="1" applyBorder="1" applyProtection="1">
      <protection locked="0"/>
    </xf>
    <xf numFmtId="1" fontId="0" fillId="3" borderId="9" xfId="0" applyNumberFormat="1" applyFill="1" applyBorder="1" applyProtection="1">
      <protection locked="0"/>
    </xf>
    <xf numFmtId="167" fontId="0" fillId="3" borderId="9" xfId="0" applyNumberFormat="1" applyFill="1" applyBorder="1" applyProtection="1">
      <protection locked="0"/>
    </xf>
    <xf numFmtId="0" fontId="0" fillId="3" borderId="9" xfId="0" applyFill="1" applyBorder="1" applyAlignment="1" applyProtection="1">
      <alignment horizontal="left"/>
      <protection locked="0"/>
    </xf>
    <xf numFmtId="0" fontId="0" fillId="3" borderId="9" xfId="0" applyFill="1" applyBorder="1" applyProtection="1">
      <protection locked="0"/>
    </xf>
    <xf numFmtId="0" fontId="0" fillId="3" borderId="9" xfId="0" applyFill="1" applyBorder="1" applyAlignment="1" applyProtection="1">
      <alignment horizontal="right"/>
      <protection locked="0"/>
    </xf>
    <xf numFmtId="0" fontId="0" fillId="6" borderId="9" xfId="0" applyFill="1" applyBorder="1" applyProtection="1">
      <protection locked="0"/>
    </xf>
    <xf numFmtId="0" fontId="0" fillId="0" borderId="0" xfId="0" applyBorder="1" applyProtection="1"/>
    <xf numFmtId="0" fontId="0" fillId="2" borderId="4" xfId="0" applyFill="1" applyBorder="1" applyAlignment="1" applyProtection="1">
      <alignment horizontal="center"/>
    </xf>
    <xf numFmtId="0" fontId="0" fillId="2" borderId="1" xfId="0" applyFill="1" applyBorder="1" applyAlignment="1" applyProtection="1">
      <alignment horizontal="center"/>
    </xf>
    <xf numFmtId="0" fontId="0" fillId="2" borderId="1" xfId="0" applyFill="1" applyBorder="1" applyProtection="1"/>
    <xf numFmtId="0" fontId="1" fillId="2" borderId="1" xfId="0" applyFont="1" applyFill="1" applyBorder="1" applyAlignment="1" applyProtection="1">
      <alignment horizontal="left"/>
    </xf>
    <xf numFmtId="0" fontId="0" fillId="0" borderId="0" xfId="0" applyProtection="1"/>
    <xf numFmtId="0" fontId="1" fillId="2" borderId="7" xfId="0" applyFont="1" applyFill="1" applyBorder="1" applyProtection="1"/>
    <xf numFmtId="0" fontId="0" fillId="2" borderId="2" xfId="0" applyFill="1" applyBorder="1" applyProtection="1"/>
    <xf numFmtId="0" fontId="0" fillId="2" borderId="2" xfId="0" applyFill="1" applyBorder="1" applyAlignment="1" applyProtection="1">
      <alignment horizontal="right"/>
    </xf>
    <xf numFmtId="0" fontId="0" fillId="2" borderId="8" xfId="0" applyFill="1" applyBorder="1" applyProtection="1"/>
    <xf numFmtId="0" fontId="0" fillId="2" borderId="5" xfId="0" applyFill="1" applyBorder="1" applyProtection="1"/>
    <xf numFmtId="0" fontId="0" fillId="2" borderId="0" xfId="0" applyFill="1" applyBorder="1" applyProtection="1"/>
    <xf numFmtId="0" fontId="0" fillId="2" borderId="0" xfId="0" applyFill="1" applyBorder="1" applyAlignment="1" applyProtection="1">
      <alignment horizontal="right"/>
    </xf>
    <xf numFmtId="0" fontId="0" fillId="2" borderId="6" xfId="0" applyFill="1" applyBorder="1" applyProtection="1"/>
    <xf numFmtId="0" fontId="0" fillId="2" borderId="5" xfId="0" applyFill="1" applyBorder="1" applyAlignment="1" applyProtection="1">
      <alignment horizontal="left"/>
    </xf>
    <xf numFmtId="3" fontId="0" fillId="4" borderId="9" xfId="0" applyNumberFormat="1" applyFill="1" applyBorder="1" applyProtection="1"/>
    <xf numFmtId="3" fontId="0" fillId="2" borderId="0" xfId="0" applyNumberFormat="1" applyFill="1" applyBorder="1" applyProtection="1"/>
    <xf numFmtId="0" fontId="0" fillId="2" borderId="0" xfId="0" applyFill="1" applyProtection="1"/>
    <xf numFmtId="0" fontId="0" fillId="2" borderId="3" xfId="0" applyFill="1" applyBorder="1" applyProtection="1"/>
    <xf numFmtId="0" fontId="1" fillId="2" borderId="5" xfId="0" applyFont="1" applyFill="1" applyBorder="1" applyProtection="1"/>
    <xf numFmtId="0" fontId="1" fillId="2" borderId="0" xfId="0" applyFont="1" applyFill="1" applyBorder="1" applyAlignment="1" applyProtection="1">
      <alignment horizontal="left"/>
    </xf>
    <xf numFmtId="0" fontId="1" fillId="2" borderId="4" xfId="0" applyFont="1" applyFill="1" applyBorder="1" applyProtection="1"/>
    <xf numFmtId="0" fontId="0" fillId="2" borderId="1" xfId="0" applyFill="1" applyBorder="1" applyAlignment="1" applyProtection="1">
      <alignment horizontal="right"/>
    </xf>
    <xf numFmtId="0" fontId="0" fillId="0" borderId="0" xfId="0" applyAlignment="1" applyProtection="1">
      <alignment horizontal="right"/>
    </xf>
    <xf numFmtId="0" fontId="0" fillId="0" borderId="0" xfId="0" applyAlignment="1" applyProtection="1">
      <alignment vertical="top"/>
    </xf>
    <xf numFmtId="0" fontId="0" fillId="0" borderId="0" xfId="0" applyAlignment="1" applyProtection="1">
      <alignment vertical="center"/>
    </xf>
    <xf numFmtId="165" fontId="1" fillId="2" borderId="6" xfId="0" applyNumberFormat="1" applyFont="1" applyFill="1" applyBorder="1" applyProtection="1"/>
    <xf numFmtId="0" fontId="0" fillId="2" borderId="5" xfId="0" applyFill="1" applyBorder="1" applyAlignment="1" applyProtection="1">
      <alignment horizontal="right"/>
    </xf>
    <xf numFmtId="0" fontId="0" fillId="4" borderId="9" xfId="0" applyFill="1" applyBorder="1" applyProtection="1"/>
    <xf numFmtId="2" fontId="0" fillId="4" borderId="9" xfId="0" applyNumberFormat="1" applyFill="1" applyBorder="1" applyProtection="1"/>
    <xf numFmtId="164" fontId="0" fillId="2" borderId="0" xfId="0" applyNumberFormat="1" applyFill="1" applyBorder="1" applyProtection="1"/>
    <xf numFmtId="0" fontId="0" fillId="2" borderId="0" xfId="0" applyFill="1" applyAlignment="1" applyProtection="1">
      <alignment horizontal="right"/>
    </xf>
    <xf numFmtId="2" fontId="0" fillId="2" borderId="0" xfId="0" applyNumberFormat="1" applyFill="1" applyBorder="1" applyProtection="1"/>
    <xf numFmtId="0" fontId="0" fillId="2" borderId="0" xfId="0" applyFill="1" applyBorder="1" applyAlignment="1" applyProtection="1">
      <alignment horizontal="left"/>
    </xf>
    <xf numFmtId="0" fontId="1" fillId="2" borderId="3" xfId="0" applyFont="1" applyFill="1" applyBorder="1" applyProtection="1"/>
    <xf numFmtId="0" fontId="1" fillId="0" borderId="0" xfId="0" applyFont="1" applyProtection="1"/>
    <xf numFmtId="0" fontId="1" fillId="2" borderId="0" xfId="0" applyFont="1" applyFill="1" applyBorder="1" applyProtection="1"/>
    <xf numFmtId="0" fontId="1" fillId="2" borderId="3" xfId="0" applyFont="1" applyFill="1" applyBorder="1" applyAlignment="1" applyProtection="1">
      <alignment horizontal="left"/>
    </xf>
    <xf numFmtId="0" fontId="1" fillId="0" borderId="0" xfId="0" applyFont="1" applyBorder="1" applyAlignment="1" applyProtection="1">
      <alignment horizontal="left"/>
    </xf>
    <xf numFmtId="0" fontId="1" fillId="0" borderId="0" xfId="0" applyFont="1" applyBorder="1" applyProtection="1"/>
    <xf numFmtId="0" fontId="0" fillId="2" borderId="0" xfId="0" applyFill="1" applyBorder="1" applyAlignment="1" applyProtection="1">
      <alignment horizontal="right" wrapText="1"/>
    </xf>
    <xf numFmtId="0" fontId="4" fillId="2" borderId="5" xfId="0" applyFont="1" applyFill="1" applyBorder="1" applyAlignment="1" applyProtection="1">
      <alignment horizontal="left"/>
    </xf>
    <xf numFmtId="0" fontId="4" fillId="2" borderId="0" xfId="0" applyFont="1" applyFill="1" applyBorder="1" applyAlignment="1" applyProtection="1">
      <alignment horizontal="left"/>
    </xf>
    <xf numFmtId="2" fontId="4" fillId="2" borderId="0" xfId="0" applyNumberFormat="1" applyFont="1" applyFill="1" applyBorder="1" applyAlignment="1" applyProtection="1">
      <alignment horizontal="left"/>
    </xf>
    <xf numFmtId="0" fontId="4" fillId="2" borderId="5" xfId="0" applyFont="1" applyFill="1" applyBorder="1" applyProtection="1"/>
    <xf numFmtId="0" fontId="0" fillId="7" borderId="9" xfId="0" applyFill="1" applyBorder="1" applyProtection="1">
      <protection locked="0"/>
    </xf>
    <xf numFmtId="2" fontId="0" fillId="0" borderId="0" xfId="0" applyNumberFormat="1" applyProtection="1"/>
    <xf numFmtId="0" fontId="0" fillId="0" borderId="1" xfId="0" applyBorder="1" applyAlignment="1" applyProtection="1">
      <alignment vertical="center"/>
    </xf>
    <xf numFmtId="0" fontId="0" fillId="0" borderId="0" xfId="0" applyAlignment="1" applyProtection="1">
      <alignment horizontal="center" vertical="center"/>
    </xf>
    <xf numFmtId="3" fontId="1" fillId="5" borderId="9" xfId="0" applyNumberFormat="1" applyFont="1" applyFill="1" applyBorder="1" applyProtection="1"/>
    <xf numFmtId="4" fontId="0" fillId="3" borderId="9" xfId="0" applyNumberFormat="1" applyFill="1" applyBorder="1" applyProtection="1">
      <protection locked="0"/>
    </xf>
    <xf numFmtId="3" fontId="0" fillId="3" borderId="9" xfId="0" applyNumberFormat="1" applyFill="1" applyBorder="1" applyAlignment="1" applyProtection="1">
      <alignment horizontal="right"/>
      <protection locked="0"/>
    </xf>
    <xf numFmtId="4" fontId="0" fillId="4" borderId="9" xfId="0" applyNumberFormat="1" applyFill="1" applyBorder="1" applyProtection="1"/>
    <xf numFmtId="4" fontId="0" fillId="3" borderId="9" xfId="0" applyNumberFormat="1" applyFill="1" applyBorder="1" applyProtection="1"/>
    <xf numFmtId="167" fontId="0" fillId="0" borderId="0" xfId="0" applyNumberFormat="1" applyProtection="1"/>
    <xf numFmtId="49" fontId="0" fillId="0" borderId="0" xfId="0" applyNumberFormat="1" applyProtection="1"/>
    <xf numFmtId="0" fontId="0" fillId="0" borderId="0" xfId="0" applyAlignment="1" applyProtection="1">
      <alignment wrapText="1"/>
    </xf>
    <xf numFmtId="0" fontId="1" fillId="0" borderId="0" xfId="0" applyFont="1" applyAlignment="1" applyProtection="1">
      <alignment horizontal="center"/>
    </xf>
    <xf numFmtId="0" fontId="1" fillId="0" borderId="0" xfId="0" applyFont="1" applyAlignment="1" applyProtection="1">
      <alignment horizontal="center" wrapText="1"/>
    </xf>
    <xf numFmtId="165" fontId="1" fillId="0" borderId="0" xfId="0" applyNumberFormat="1" applyFont="1" applyProtection="1"/>
    <xf numFmtId="164" fontId="1" fillId="0" borderId="0" xfId="0" applyNumberFormat="1" applyFont="1" applyProtection="1"/>
    <xf numFmtId="0" fontId="1" fillId="0" borderId="0" xfId="0" applyFont="1" applyAlignment="1" applyProtection="1">
      <alignment horizontal="center" vertical="center"/>
    </xf>
    <xf numFmtId="0" fontId="1" fillId="0" borderId="0" xfId="0" applyFont="1" applyAlignment="1" applyProtection="1">
      <alignment horizontal="center" vertical="center" wrapText="1"/>
    </xf>
    <xf numFmtId="0" fontId="0" fillId="0" borderId="1" xfId="0" applyBorder="1" applyProtection="1"/>
    <xf numFmtId="0" fontId="8" fillId="2" borderId="0" xfId="0" applyFont="1" applyFill="1" applyBorder="1" applyAlignment="1" applyProtection="1">
      <alignment horizontal="left"/>
    </xf>
    <xf numFmtId="0" fontId="8" fillId="2" borderId="5" xfId="0" applyFont="1" applyFill="1" applyBorder="1" applyProtection="1"/>
    <xf numFmtId="0" fontId="8" fillId="2" borderId="5" xfId="0" applyFont="1" applyFill="1" applyBorder="1" applyAlignment="1" applyProtection="1">
      <alignment horizontal="left"/>
    </xf>
    <xf numFmtId="166" fontId="0" fillId="2" borderId="2" xfId="0" applyNumberFormat="1" applyFill="1" applyBorder="1" applyProtection="1"/>
    <xf numFmtId="166" fontId="0" fillId="2" borderId="0" xfId="0" applyNumberFormat="1" applyFill="1" applyBorder="1" applyProtection="1"/>
    <xf numFmtId="2" fontId="0" fillId="0" borderId="0" xfId="0" applyNumberFormat="1" applyAlignment="1" applyProtection="1">
      <alignment vertical="center"/>
    </xf>
    <xf numFmtId="0" fontId="5" fillId="0" borderId="0" xfId="1" applyProtection="1"/>
    <xf numFmtId="0" fontId="6" fillId="3" borderId="9"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top" wrapText="1"/>
    </xf>
    <xf numFmtId="0" fontId="3" fillId="2" borderId="0" xfId="0" applyFont="1" applyFill="1" applyBorder="1" applyAlignment="1" applyProtection="1">
      <alignment horizontal="center" vertical="top" wrapText="1"/>
    </xf>
    <xf numFmtId="0" fontId="4" fillId="0" borderId="5"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1" fillId="3" borderId="11"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protection locked="0"/>
    </xf>
    <xf numFmtId="0" fontId="8" fillId="2" borderId="0" xfId="0" applyFont="1" applyFill="1" applyBorder="1" applyAlignment="1" applyProtection="1">
      <alignment horizontal="right"/>
    </xf>
  </cellXfs>
  <cellStyles count="2">
    <cellStyle name="Hyperlink" xfId="1" builtinId="8"/>
    <cellStyle name="Normal" xfId="0" builtinId="0"/>
  </cellStyles>
  <dxfs count="130">
    <dxf>
      <numFmt numFmtId="165" formatCode="[$€-2]\ #,##0"/>
    </dxf>
    <dxf>
      <numFmt numFmtId="168" formatCode="[$$-409]#,##0"/>
    </dxf>
    <dxf>
      <numFmt numFmtId="169" formatCode="&quot;£&quot;#,##0"/>
    </dxf>
    <dxf>
      <numFmt numFmtId="165" formatCode="[$€-2]\ #,##0"/>
    </dxf>
    <dxf>
      <numFmt numFmtId="164" formatCode="[$€-2]\ #,##0.00"/>
    </dxf>
    <dxf>
      <numFmt numFmtId="170" formatCode="&quot;£&quot;#,##0.00"/>
    </dxf>
    <dxf>
      <numFmt numFmtId="171" formatCode="[$$-409]#,##0.00"/>
    </dxf>
    <dxf>
      <numFmt numFmtId="165" formatCode="[$€-2]\ #,##0"/>
    </dxf>
    <dxf>
      <numFmt numFmtId="168" formatCode="[$$-409]#,##0"/>
    </dxf>
    <dxf>
      <numFmt numFmtId="169" formatCode="&quot;£&quot;#,##0"/>
    </dxf>
    <dxf>
      <numFmt numFmtId="165" formatCode="[$€-2]\ #,##0"/>
    </dxf>
    <dxf>
      <numFmt numFmtId="168" formatCode="[$$-409]#,##0"/>
    </dxf>
    <dxf>
      <numFmt numFmtId="169" formatCode="&quot;£&quot;#,##0"/>
    </dxf>
    <dxf>
      <numFmt numFmtId="165" formatCode="[$€-2]\ #,##0"/>
    </dxf>
    <dxf>
      <numFmt numFmtId="164" formatCode="[$€-2]\ #,##0.00"/>
    </dxf>
    <dxf>
      <numFmt numFmtId="170" formatCode="&quot;£&quot;#,##0.00"/>
    </dxf>
    <dxf>
      <numFmt numFmtId="171" formatCode="[$$-409]#,##0.00"/>
    </dxf>
    <dxf>
      <numFmt numFmtId="165" formatCode="[$€-2]\ #,##0"/>
    </dxf>
    <dxf>
      <numFmt numFmtId="168" formatCode="[$$-409]#,##0"/>
    </dxf>
    <dxf>
      <numFmt numFmtId="169" formatCode="&quot;£&quot;#,##0"/>
    </dxf>
    <dxf>
      <numFmt numFmtId="165" formatCode="[$€-2]\ #,##0"/>
    </dxf>
    <dxf>
      <numFmt numFmtId="168" formatCode="[$$-409]#,##0"/>
    </dxf>
    <dxf>
      <numFmt numFmtId="169" formatCode="&quot;£&quot;#,##0"/>
    </dxf>
    <dxf>
      <numFmt numFmtId="165" formatCode="[$€-2]\ #,##0"/>
    </dxf>
    <dxf>
      <numFmt numFmtId="164" formatCode="[$€-2]\ #,##0.00"/>
    </dxf>
    <dxf>
      <numFmt numFmtId="170" formatCode="&quot;£&quot;#,##0.00"/>
    </dxf>
    <dxf>
      <numFmt numFmtId="171" formatCode="[$$-409]#,##0.00"/>
    </dxf>
    <dxf>
      <numFmt numFmtId="165" formatCode="[$€-2]\ #,##0"/>
    </dxf>
    <dxf>
      <numFmt numFmtId="168" formatCode="[$$-409]#,##0"/>
    </dxf>
    <dxf>
      <numFmt numFmtId="169" formatCode="&quot;£&quot;#,##0"/>
    </dxf>
    <dxf>
      <numFmt numFmtId="165" formatCode="[$€-2]\ #,##0"/>
    </dxf>
    <dxf>
      <numFmt numFmtId="168" formatCode="[$$-409]#,##0"/>
    </dxf>
    <dxf>
      <numFmt numFmtId="169" formatCode="&quot;£&quot;#,##0"/>
    </dxf>
    <dxf>
      <numFmt numFmtId="165" formatCode="[$€-2]\ #,##0"/>
    </dxf>
    <dxf>
      <numFmt numFmtId="164" formatCode="[$€-2]\ #,##0.00"/>
    </dxf>
    <dxf>
      <numFmt numFmtId="170" formatCode="&quot;£&quot;#,##0.00"/>
    </dxf>
    <dxf>
      <numFmt numFmtId="171" formatCode="[$$-409]#,##0.00"/>
    </dxf>
    <dxf>
      <numFmt numFmtId="165" formatCode="[$€-2]\ #,##0"/>
    </dxf>
    <dxf>
      <numFmt numFmtId="168" formatCode="[$$-409]#,##0"/>
    </dxf>
    <dxf>
      <numFmt numFmtId="169" formatCode="&quot;£&quot;#,##0"/>
    </dxf>
    <dxf>
      <numFmt numFmtId="165" formatCode="[$€-2]\ #,##0"/>
    </dxf>
    <dxf>
      <numFmt numFmtId="168" formatCode="[$$-409]#,##0"/>
    </dxf>
    <dxf>
      <numFmt numFmtId="169" formatCode="&quot;£&quot;#,##0"/>
    </dxf>
    <dxf>
      <numFmt numFmtId="165" formatCode="[$€-2]\ #,##0"/>
    </dxf>
    <dxf>
      <numFmt numFmtId="164" formatCode="[$€-2]\ #,##0.00"/>
    </dxf>
    <dxf>
      <numFmt numFmtId="170" formatCode="&quot;£&quot;#,##0.00"/>
    </dxf>
    <dxf>
      <numFmt numFmtId="171" formatCode="[$$-409]#,##0.00"/>
    </dxf>
    <dxf>
      <numFmt numFmtId="165" formatCode="[$€-2]\ #,##0"/>
    </dxf>
    <dxf>
      <numFmt numFmtId="168" formatCode="[$$-409]#,##0"/>
    </dxf>
    <dxf>
      <numFmt numFmtId="169" formatCode="&quot;£&quot;#,##0"/>
    </dxf>
    <dxf>
      <numFmt numFmtId="165" formatCode="[$€-2]\ #,##0"/>
    </dxf>
    <dxf>
      <numFmt numFmtId="168" formatCode="[$$-409]#,##0"/>
    </dxf>
    <dxf>
      <numFmt numFmtId="169" formatCode="&quot;£&quot;#,##0"/>
    </dxf>
    <dxf>
      <numFmt numFmtId="165" formatCode="[$€-2]\ #,##0"/>
    </dxf>
    <dxf>
      <numFmt numFmtId="164" formatCode="[$€-2]\ #,##0.00"/>
    </dxf>
    <dxf>
      <numFmt numFmtId="170" formatCode="&quot;£&quot;#,##0.00"/>
    </dxf>
    <dxf>
      <numFmt numFmtId="171" formatCode="[$$-409]#,##0.00"/>
    </dxf>
    <dxf>
      <numFmt numFmtId="165" formatCode="[$€-2]\ #,##0"/>
    </dxf>
    <dxf>
      <numFmt numFmtId="168" formatCode="[$$-409]#,##0"/>
    </dxf>
    <dxf>
      <numFmt numFmtId="169" formatCode="&quot;£&quot;#,##0"/>
    </dxf>
    <dxf>
      <numFmt numFmtId="165" formatCode="[$€-2]\ #,##0"/>
    </dxf>
    <dxf>
      <numFmt numFmtId="168" formatCode="[$$-409]#,##0"/>
    </dxf>
    <dxf>
      <numFmt numFmtId="169" formatCode="&quot;£&quot;#,##0"/>
    </dxf>
    <dxf>
      <numFmt numFmtId="165" formatCode="[$€-2]\ #,##0"/>
    </dxf>
    <dxf>
      <numFmt numFmtId="164" formatCode="[$€-2]\ #,##0.00"/>
    </dxf>
    <dxf>
      <numFmt numFmtId="170" formatCode="&quot;£&quot;#,##0.00"/>
    </dxf>
    <dxf>
      <numFmt numFmtId="171" formatCode="[$$-409]#,##0.00"/>
    </dxf>
    <dxf>
      <numFmt numFmtId="165" formatCode="[$€-2]\ #,##0"/>
    </dxf>
    <dxf>
      <numFmt numFmtId="168" formatCode="[$$-409]#,##0"/>
    </dxf>
    <dxf>
      <numFmt numFmtId="169" formatCode="&quot;£&quot;#,##0"/>
    </dxf>
    <dxf>
      <numFmt numFmtId="165" formatCode="[$€-2]\ #,##0"/>
    </dxf>
    <dxf>
      <numFmt numFmtId="168" formatCode="[$$-409]#,##0"/>
    </dxf>
    <dxf>
      <numFmt numFmtId="169" formatCode="&quot;£&quot;#,##0"/>
    </dxf>
    <dxf>
      <numFmt numFmtId="165" formatCode="[$€-2]\ #,##0"/>
    </dxf>
    <dxf>
      <numFmt numFmtId="164" formatCode="[$€-2]\ #,##0.00"/>
    </dxf>
    <dxf>
      <numFmt numFmtId="170" formatCode="&quot;£&quot;#,##0.00"/>
    </dxf>
    <dxf>
      <numFmt numFmtId="171" formatCode="[$$-409]#,##0.00"/>
    </dxf>
    <dxf>
      <numFmt numFmtId="165" formatCode="[$€-2]\ #,##0"/>
    </dxf>
    <dxf>
      <numFmt numFmtId="168" formatCode="[$$-409]#,##0"/>
    </dxf>
    <dxf>
      <numFmt numFmtId="169" formatCode="&quot;£&quot;#,##0"/>
    </dxf>
    <dxf>
      <numFmt numFmtId="165" formatCode="[$€-2]\ #,##0"/>
    </dxf>
    <dxf>
      <numFmt numFmtId="168" formatCode="[$$-409]#,##0"/>
    </dxf>
    <dxf>
      <numFmt numFmtId="169" formatCode="&quot;£&quot;#,##0"/>
    </dxf>
    <dxf>
      <numFmt numFmtId="165" formatCode="[$€-2]\ #,##0"/>
    </dxf>
    <dxf>
      <numFmt numFmtId="164" formatCode="[$€-2]\ #,##0.00"/>
    </dxf>
    <dxf>
      <numFmt numFmtId="170" formatCode="&quot;£&quot;#,##0.00"/>
    </dxf>
    <dxf>
      <numFmt numFmtId="171" formatCode="[$$-409]#,##0.00"/>
    </dxf>
    <dxf>
      <numFmt numFmtId="165" formatCode="[$€-2]\ #,##0"/>
    </dxf>
    <dxf>
      <numFmt numFmtId="168" formatCode="[$$-409]#,##0"/>
    </dxf>
    <dxf>
      <numFmt numFmtId="169" formatCode="&quot;£&quot;#,##0"/>
    </dxf>
    <dxf>
      <numFmt numFmtId="165" formatCode="[$€-2]\ #,##0"/>
    </dxf>
    <dxf>
      <numFmt numFmtId="168" formatCode="[$$-409]#,##0"/>
    </dxf>
    <dxf>
      <numFmt numFmtId="169" formatCode="&quot;£&quot;#,##0"/>
    </dxf>
    <dxf>
      <numFmt numFmtId="165" formatCode="[$€-2]\ #,##0"/>
    </dxf>
    <dxf>
      <numFmt numFmtId="164" formatCode="[$€-2]\ #,##0.00"/>
    </dxf>
    <dxf>
      <numFmt numFmtId="170" formatCode="&quot;£&quot;#,##0.00"/>
    </dxf>
    <dxf>
      <numFmt numFmtId="171" formatCode="[$$-409]#,##0.00"/>
    </dxf>
    <dxf>
      <numFmt numFmtId="165" formatCode="[$€-2]\ #,##0"/>
    </dxf>
    <dxf>
      <numFmt numFmtId="168" formatCode="[$$-409]#,##0"/>
    </dxf>
    <dxf>
      <numFmt numFmtId="169" formatCode="&quot;£&quot;#,##0"/>
    </dxf>
    <dxf>
      <numFmt numFmtId="165" formatCode="[$€-2]\ #,##0"/>
    </dxf>
    <dxf>
      <numFmt numFmtId="168" formatCode="[$$-409]#,##0"/>
    </dxf>
    <dxf>
      <numFmt numFmtId="169" formatCode="&quot;£&quot;#,##0"/>
    </dxf>
    <dxf>
      <numFmt numFmtId="165" formatCode="[$€-2]\ #,##0"/>
    </dxf>
    <dxf>
      <numFmt numFmtId="164" formatCode="[$€-2]\ #,##0.00"/>
    </dxf>
    <dxf>
      <numFmt numFmtId="170" formatCode="&quot;£&quot;#,##0.00"/>
    </dxf>
    <dxf>
      <numFmt numFmtId="171" formatCode="[$$-409]#,##0.00"/>
    </dxf>
    <dxf>
      <numFmt numFmtId="165" formatCode="[$€-2]\ #,##0"/>
    </dxf>
    <dxf>
      <numFmt numFmtId="168" formatCode="[$$-409]#,##0"/>
    </dxf>
    <dxf>
      <numFmt numFmtId="169" formatCode="&quot;£&quot;#,##0"/>
    </dxf>
    <dxf>
      <numFmt numFmtId="165" formatCode="[$€-2]\ #,##0"/>
    </dxf>
    <dxf>
      <numFmt numFmtId="168" formatCode="[$$-409]#,##0"/>
    </dxf>
    <dxf>
      <numFmt numFmtId="169" formatCode="&quot;£&quot;#,##0"/>
    </dxf>
    <dxf>
      <numFmt numFmtId="165" formatCode="[$€-2]\ #,##0"/>
    </dxf>
    <dxf>
      <numFmt numFmtId="164" formatCode="[$€-2]\ #,##0.00"/>
    </dxf>
    <dxf>
      <numFmt numFmtId="170" formatCode="&quot;£&quot;#,##0.00"/>
    </dxf>
    <dxf>
      <numFmt numFmtId="171" formatCode="[$$-409]#,##0.00"/>
    </dxf>
    <dxf>
      <numFmt numFmtId="165" formatCode="[$€-2]\ #,##0"/>
    </dxf>
    <dxf>
      <numFmt numFmtId="168" formatCode="[$$-409]#,##0"/>
    </dxf>
    <dxf>
      <numFmt numFmtId="169" formatCode="&quot;£&quot;#,##0"/>
    </dxf>
    <dxf>
      <numFmt numFmtId="165" formatCode="[$€-2]\ #,##0"/>
    </dxf>
    <dxf>
      <numFmt numFmtId="168" formatCode="[$$-409]#,##0"/>
    </dxf>
    <dxf>
      <numFmt numFmtId="169" formatCode="&quot;£&quot;#,##0"/>
    </dxf>
    <dxf>
      <numFmt numFmtId="165" formatCode="[$€-2]\ #,##0"/>
    </dxf>
    <dxf>
      <numFmt numFmtId="164" formatCode="[$€-2]\ #,##0.00"/>
    </dxf>
    <dxf>
      <numFmt numFmtId="170" formatCode="&quot;£&quot;#,##0.00"/>
    </dxf>
    <dxf>
      <numFmt numFmtId="171" formatCode="[$$-409]#,##0.00"/>
    </dxf>
    <dxf>
      <numFmt numFmtId="165" formatCode="[$€-2]\ #,##0"/>
    </dxf>
    <dxf>
      <numFmt numFmtId="168" formatCode="[$$-409]#,##0"/>
    </dxf>
    <dxf>
      <numFmt numFmtId="169" formatCode="&quot;£&quot;#,##0"/>
    </dxf>
  </dxfs>
  <tableStyles count="0" defaultTableStyle="TableStyleMedium2" defaultPivotStyle="PivotStyleLight16"/>
  <colors>
    <mruColors>
      <color rgb="FFB2B2B2"/>
      <color rgb="FFD9EAD3"/>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c.europa.eu/eurostat/tgm/table.do?tab=table&amp;init=1&amp;language=en&amp;pcode=tec00120&amp;plugin=1"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ec.europa.eu/eurostat/tgm/table.do?tab=table&amp;init=1&amp;language=en&amp;pcode=tec00120&amp;plugin=1"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ec.europa.eu/eurostat/tgm/table.do?tab=table&amp;init=1&amp;language=en&amp;pcode=tec00120&amp;plugin=1"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ec.europa.eu/eurostat/tgm/table.do?tab=table&amp;init=1&amp;language=en&amp;pcode=tec00120&amp;plugin=1"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ec.europa.eu/eurostat/tgm/table.do?tab=table&amp;init=1&amp;language=en&amp;pcode=tec00120&amp;plugin=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c.europa.eu/eurostat/tgm/table.do?tab=table&amp;init=1&amp;language=en&amp;pcode=tec00120&amp;plugin=1"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ec.europa.eu/eurostat/tgm/table.do?tab=table&amp;init=1&amp;language=en&amp;pcode=tec00120&amp;plugin=1"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ec.europa.eu/eurostat/tgm/table.do?tab=table&amp;init=1&amp;language=en&amp;pcode=tec00120&amp;plugin=1"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ec.europa.eu/eurostat/tgm/table.do?tab=table&amp;init=1&amp;language=en&amp;pcode=tec00120&amp;plugin=1"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ec.europa.eu/eurostat/tgm/table.do?tab=table&amp;init=1&amp;language=en&amp;pcode=tec00120&amp;plugin=1"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ec.europa.eu/eurostat/tgm/table.do?tab=table&amp;init=1&amp;language=en&amp;pcode=tec00120&amp;plugin=1"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ec.europa.eu/eurostat/tgm/table.do?tab=table&amp;init=1&amp;language=en&amp;pcode=tec00120&amp;plugin=1"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ec.europa.eu/eurostat/tgm/table.do?tab=table&amp;init=1&amp;language=en&amp;pcode=tec00120&amp;plugin=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7A9CA-6434-4999-808B-488E7EACE829}">
  <dimension ref="A2:AV597"/>
  <sheetViews>
    <sheetView topLeftCell="A52" workbookViewId="0">
      <selection activeCell="F27" sqref="F27"/>
    </sheetView>
  </sheetViews>
  <sheetFormatPr defaultColWidth="8.7109375" defaultRowHeight="15" x14ac:dyDescent="0.25"/>
  <cols>
    <col min="1" max="1" width="1.5703125" style="14" customWidth="1"/>
    <col min="2" max="2" width="55.5703125" style="14" bestFit="1" customWidth="1"/>
    <col min="3" max="3" width="10.28515625" style="14" bestFit="1" customWidth="1"/>
    <col min="4" max="4" width="8.7109375" style="14"/>
    <col min="5" max="5" width="29.85546875" style="32" customWidth="1"/>
    <col min="6" max="6" width="10.28515625" style="14" bestFit="1" customWidth="1"/>
    <col min="7" max="7" width="8.7109375" style="14"/>
    <col min="8" max="8" width="24.85546875" style="14" bestFit="1" customWidth="1"/>
    <col min="9" max="9" width="11.42578125" style="14" bestFit="1" customWidth="1"/>
    <col min="10" max="10" width="1.140625" style="14" customWidth="1"/>
    <col min="11" max="16384" width="8.7109375" style="14"/>
  </cols>
  <sheetData>
    <row r="2" spans="1:14" ht="42.6" customHeight="1" x14ac:dyDescent="0.25">
      <c r="B2" s="1" t="s">
        <v>146</v>
      </c>
      <c r="C2" s="57" t="str">
        <f>_xlfn.SWITCH($B$2, "APM","Belgium","LUOMUS","Finland","MNHN","France","Naturalis","Netherlands","NHMUK","UK","RBGK","UK","UTARTU","Estonia","- -")</f>
        <v>- -</v>
      </c>
      <c r="D2" s="85" t="s">
        <v>147</v>
      </c>
      <c r="E2" s="86"/>
      <c r="F2" s="87"/>
      <c r="H2" s="80" t="s">
        <v>76</v>
      </c>
    </row>
    <row r="3" spans="1:14" ht="42.6" customHeight="1" x14ac:dyDescent="0.25">
      <c r="C3" s="57"/>
      <c r="D3" s="88"/>
      <c r="E3" s="89"/>
      <c r="F3" s="90"/>
    </row>
    <row r="5" spans="1:14" x14ac:dyDescent="0.25">
      <c r="A5" s="9"/>
      <c r="B5" s="15" t="s">
        <v>30</v>
      </c>
      <c r="C5" s="16"/>
      <c r="D5" s="16"/>
      <c r="E5" s="17"/>
      <c r="F5" s="16"/>
      <c r="G5" s="16"/>
      <c r="H5" s="16"/>
      <c r="I5" s="18"/>
    </row>
    <row r="6" spans="1:14" ht="14.45" customHeight="1" x14ac:dyDescent="0.25">
      <c r="A6" s="48"/>
      <c r="B6" s="36" t="s">
        <v>22</v>
      </c>
      <c r="C6" s="2">
        <v>420000</v>
      </c>
      <c r="D6" s="20"/>
      <c r="E6" s="49" t="s">
        <v>54</v>
      </c>
      <c r="F6" s="2"/>
      <c r="G6" s="20"/>
      <c r="H6" s="20"/>
      <c r="I6" s="22"/>
    </row>
    <row r="7" spans="1:14" ht="14.45" customHeight="1" x14ac:dyDescent="0.25">
      <c r="A7" s="9"/>
      <c r="B7" s="36" t="s">
        <v>140</v>
      </c>
      <c r="C7" s="2">
        <v>25000</v>
      </c>
      <c r="D7" s="20"/>
      <c r="E7" s="20"/>
      <c r="F7" s="20"/>
      <c r="G7" s="20"/>
      <c r="H7" s="20"/>
      <c r="I7" s="22"/>
    </row>
    <row r="8" spans="1:14" ht="14.45" customHeight="1" x14ac:dyDescent="0.25">
      <c r="A8" s="9"/>
      <c r="B8" s="53" t="s">
        <v>144</v>
      </c>
      <c r="C8" s="20"/>
      <c r="D8" s="20"/>
      <c r="E8" s="20"/>
      <c r="F8" s="20"/>
      <c r="G8" s="20"/>
      <c r="H8" s="20"/>
      <c r="I8" s="22"/>
    </row>
    <row r="9" spans="1:14" ht="45" customHeight="1" x14ac:dyDescent="0.25">
      <c r="A9" s="9"/>
      <c r="B9" s="83" t="s">
        <v>148</v>
      </c>
      <c r="C9" s="84"/>
      <c r="D9" s="84"/>
      <c r="E9" s="84"/>
      <c r="F9" s="84"/>
      <c r="G9" s="84"/>
      <c r="H9" s="29"/>
      <c r="I9" s="35"/>
      <c r="K9" s="70" t="s">
        <v>76</v>
      </c>
      <c r="L9" s="71" t="s">
        <v>91</v>
      </c>
      <c r="M9" s="65"/>
      <c r="N9" s="65"/>
    </row>
    <row r="10" spans="1:14" ht="14.45" customHeight="1" x14ac:dyDescent="0.25">
      <c r="A10" s="9"/>
      <c r="B10" s="10"/>
      <c r="C10" s="11"/>
      <c r="D10" s="11"/>
      <c r="E10" s="11"/>
      <c r="F10" s="11"/>
      <c r="G10" s="12"/>
      <c r="H10" s="46" t="s">
        <v>29</v>
      </c>
      <c r="I10" s="58">
        <f>C6+F6</f>
        <v>420000</v>
      </c>
      <c r="K10" s="68">
        <f>$I$10*VLOOKUP($H$2,$B$547:$C$549,2,)</f>
        <v>420000</v>
      </c>
      <c r="L10" s="68">
        <f>$I$10*VLOOKUP($H$2,$B$547:$C$549,2,)*100/VLOOKUP($C$2,$B$555:$C$597,2,)</f>
        <v>420000</v>
      </c>
    </row>
    <row r="11" spans="1:14" ht="14.45" customHeight="1" x14ac:dyDescent="0.25">
      <c r="A11" s="9"/>
      <c r="B11" s="9"/>
      <c r="C11" s="9"/>
      <c r="D11" s="9"/>
      <c r="E11" s="9"/>
      <c r="F11" s="9"/>
      <c r="G11" s="9"/>
      <c r="H11" s="47"/>
    </row>
    <row r="12" spans="1:14" ht="14.45" customHeight="1" x14ac:dyDescent="0.25">
      <c r="B12" s="15" t="s">
        <v>27</v>
      </c>
      <c r="C12" s="16"/>
      <c r="D12" s="16"/>
      <c r="E12" s="16"/>
      <c r="F12" s="16"/>
      <c r="G12" s="16"/>
      <c r="H12" s="16"/>
      <c r="I12" s="18"/>
    </row>
    <row r="13" spans="1:14" ht="14.45" customHeight="1" x14ac:dyDescent="0.25">
      <c r="B13" s="19"/>
      <c r="C13" s="20"/>
      <c r="D13" s="20"/>
      <c r="E13" s="20"/>
      <c r="F13" s="20"/>
      <c r="G13" s="20"/>
      <c r="H13" s="29" t="s">
        <v>26</v>
      </c>
      <c r="I13" s="22"/>
    </row>
    <row r="14" spans="1:14" x14ac:dyDescent="0.25">
      <c r="A14" s="44"/>
      <c r="B14" s="36" t="s">
        <v>133</v>
      </c>
      <c r="C14" s="2">
        <v>7</v>
      </c>
      <c r="D14" s="20"/>
      <c r="E14" s="21"/>
      <c r="F14" s="20"/>
      <c r="G14" s="20"/>
      <c r="H14" s="20" t="s">
        <v>25</v>
      </c>
      <c r="I14" s="24">
        <f>(C6+C7)/C14</f>
        <v>63571.428571428572</v>
      </c>
    </row>
    <row r="15" spans="1:14" ht="17.25" x14ac:dyDescent="0.25">
      <c r="B15" s="36" t="s">
        <v>20</v>
      </c>
      <c r="C15" s="3">
        <v>20</v>
      </c>
      <c r="D15" s="20"/>
      <c r="E15" s="21" t="s">
        <v>21</v>
      </c>
      <c r="F15" s="59">
        <v>0</v>
      </c>
      <c r="G15" s="20"/>
      <c r="H15" s="20" t="s">
        <v>60</v>
      </c>
      <c r="I15" s="24">
        <f>C15*F15*12</f>
        <v>0</v>
      </c>
    </row>
    <row r="16" spans="1:14" x14ac:dyDescent="0.25">
      <c r="B16" s="36" t="s">
        <v>142</v>
      </c>
      <c r="C16" s="4">
        <v>0</v>
      </c>
      <c r="D16" s="20"/>
      <c r="E16" s="21" t="s">
        <v>141</v>
      </c>
      <c r="F16" s="2">
        <v>6081</v>
      </c>
      <c r="G16" s="20"/>
      <c r="H16" s="20" t="s">
        <v>61</v>
      </c>
      <c r="I16" s="24">
        <f>C16*F16*12</f>
        <v>0</v>
      </c>
    </row>
    <row r="17" spans="1:48" x14ac:dyDescent="0.25">
      <c r="B17" s="36"/>
      <c r="C17" s="76"/>
      <c r="D17" s="20"/>
      <c r="E17" s="21" t="s">
        <v>51</v>
      </c>
      <c r="F17" s="2">
        <v>1500</v>
      </c>
      <c r="G17" s="20"/>
      <c r="H17" s="20" t="s">
        <v>62</v>
      </c>
      <c r="I17" s="24">
        <f>F17*12</f>
        <v>18000</v>
      </c>
    </row>
    <row r="18" spans="1:48" x14ac:dyDescent="0.25">
      <c r="B18" s="36"/>
      <c r="C18" s="77"/>
      <c r="D18" s="20"/>
      <c r="E18" s="21" t="s">
        <v>53</v>
      </c>
      <c r="F18" s="2">
        <v>2200</v>
      </c>
      <c r="G18" s="20"/>
      <c r="H18" s="20" t="s">
        <v>52</v>
      </c>
      <c r="I18" s="24">
        <f>F18*12</f>
        <v>26400</v>
      </c>
    </row>
    <row r="19" spans="1:48" x14ac:dyDescent="0.25">
      <c r="B19" s="75"/>
      <c r="C19" s="73"/>
      <c r="D19" s="42"/>
      <c r="E19" s="91" t="s">
        <v>138</v>
      </c>
      <c r="F19" s="91"/>
      <c r="G19" s="20"/>
      <c r="H19" s="20"/>
      <c r="I19" s="22"/>
    </row>
    <row r="20" spans="1:48" x14ac:dyDescent="0.25">
      <c r="B20" s="74"/>
      <c r="C20" s="20"/>
      <c r="D20" s="20"/>
      <c r="E20" s="91" t="s">
        <v>139</v>
      </c>
      <c r="F20" s="91"/>
      <c r="G20" s="20"/>
      <c r="H20" s="26"/>
      <c r="I20" s="22"/>
      <c r="AV20" s="33"/>
    </row>
    <row r="21" spans="1:48" x14ac:dyDescent="0.25">
      <c r="B21" s="53" t="s">
        <v>143</v>
      </c>
      <c r="C21" s="20"/>
      <c r="D21" s="20"/>
      <c r="E21" s="21"/>
      <c r="F21" s="20"/>
      <c r="G21" s="20"/>
      <c r="H21" s="26"/>
      <c r="I21" s="22"/>
      <c r="AV21" s="33"/>
    </row>
    <row r="22" spans="1:48" ht="45" customHeight="1" x14ac:dyDescent="0.25">
      <c r="A22" s="9"/>
      <c r="B22" s="83" t="s">
        <v>169</v>
      </c>
      <c r="C22" s="84"/>
      <c r="D22" s="84"/>
      <c r="E22" s="84"/>
      <c r="F22" s="84"/>
      <c r="G22" s="84"/>
      <c r="H22" s="29"/>
      <c r="I22" s="35"/>
      <c r="K22" s="70" t="s">
        <v>76</v>
      </c>
      <c r="L22" s="71" t="s">
        <v>91</v>
      </c>
    </row>
    <row r="23" spans="1:48" ht="14.45" customHeight="1" x14ac:dyDescent="0.25">
      <c r="A23" s="9"/>
      <c r="B23" s="10"/>
      <c r="C23" s="11"/>
      <c r="D23" s="11"/>
      <c r="E23" s="11"/>
      <c r="F23" s="11"/>
      <c r="G23" s="12"/>
      <c r="H23" s="43" t="s">
        <v>24</v>
      </c>
      <c r="I23" s="58">
        <f>SUM(I14, I15, I16, I17, I18)</f>
        <v>107971.42857142858</v>
      </c>
      <c r="K23" s="68">
        <f>$I$23*VLOOKUP($H$2,$B$547:$C$549,2,)</f>
        <v>107971.42857142858</v>
      </c>
      <c r="L23" s="68">
        <f>$I$23*VLOOKUP($H$2,$B$547:$C$549,2,)*100/VLOOKUP($C$2,$B$555:$C$597,2,)</f>
        <v>107971.42857142858</v>
      </c>
    </row>
    <row r="24" spans="1:48" x14ac:dyDescent="0.25">
      <c r="H24" s="44"/>
      <c r="AV24" s="33"/>
    </row>
    <row r="25" spans="1:48" ht="15.95" customHeight="1" x14ac:dyDescent="0.25">
      <c r="B25" s="15" t="s">
        <v>28</v>
      </c>
      <c r="C25" s="16"/>
      <c r="D25" s="16"/>
      <c r="E25" s="17"/>
      <c r="F25" s="81" t="s">
        <v>131</v>
      </c>
      <c r="G25" s="81" t="s">
        <v>40</v>
      </c>
      <c r="H25" s="16"/>
      <c r="I25" s="18"/>
      <c r="AQ25" s="33"/>
      <c r="AR25" s="33"/>
      <c r="AS25" s="33"/>
      <c r="AT25" s="33"/>
      <c r="AU25" s="33"/>
      <c r="AV25" s="33"/>
    </row>
    <row r="26" spans="1:48" ht="15.95" customHeight="1" x14ac:dyDescent="0.25">
      <c r="B26" s="19" t="s">
        <v>37</v>
      </c>
      <c r="C26" s="20"/>
      <c r="D26" s="29" t="s">
        <v>14</v>
      </c>
      <c r="E26" s="21"/>
      <c r="F26" s="82"/>
      <c r="G26" s="82"/>
      <c r="H26" s="45" t="s">
        <v>32</v>
      </c>
      <c r="I26" s="22"/>
      <c r="AU26" s="33"/>
      <c r="AV26" s="33"/>
    </row>
    <row r="27" spans="1:48" x14ac:dyDescent="0.25">
      <c r="B27" s="5" t="s">
        <v>0</v>
      </c>
      <c r="C27" s="42"/>
      <c r="D27" s="42" t="s">
        <v>44</v>
      </c>
      <c r="E27" s="21"/>
      <c r="F27" s="54"/>
      <c r="G27" s="41">
        <f>F27*C31/60</f>
        <v>0</v>
      </c>
      <c r="H27" s="39"/>
      <c r="I27" s="24">
        <f>G27*C36*C32*12</f>
        <v>0</v>
      </c>
      <c r="AV27" s="33"/>
    </row>
    <row r="28" spans="1:48" ht="15" customHeight="1" x14ac:dyDescent="0.25">
      <c r="B28" s="5" t="s">
        <v>42</v>
      </c>
      <c r="C28" s="42"/>
      <c r="D28" s="42" t="s">
        <v>73</v>
      </c>
      <c r="E28" s="21"/>
      <c r="F28" s="54"/>
      <c r="G28" s="41">
        <f>F28*C31/60</f>
        <v>0</v>
      </c>
      <c r="H28" s="39"/>
      <c r="I28" s="24">
        <f>G28*C36*C32*12</f>
        <v>0</v>
      </c>
    </row>
    <row r="29" spans="1:48" x14ac:dyDescent="0.25">
      <c r="B29" s="5" t="s">
        <v>1</v>
      </c>
      <c r="C29" s="20"/>
      <c r="D29" s="42" t="s">
        <v>45</v>
      </c>
      <c r="E29" s="21"/>
      <c r="F29" s="54"/>
      <c r="G29" s="41">
        <f>F29*C31/60</f>
        <v>0</v>
      </c>
      <c r="H29" s="39"/>
      <c r="I29" s="24">
        <f>G29*C36*C32*12</f>
        <v>0</v>
      </c>
    </row>
    <row r="30" spans="1:48" x14ac:dyDescent="0.25">
      <c r="B30" s="5" t="s">
        <v>15</v>
      </c>
      <c r="C30" s="21"/>
      <c r="D30" s="42" t="s">
        <v>74</v>
      </c>
      <c r="E30" s="21"/>
      <c r="F30" s="54"/>
      <c r="G30" s="41">
        <f>F30*C31/60</f>
        <v>0</v>
      </c>
      <c r="H30" s="39"/>
      <c r="I30" s="24">
        <f>G30*C36*C32*12</f>
        <v>0</v>
      </c>
    </row>
    <row r="31" spans="1:48" x14ac:dyDescent="0.25">
      <c r="B31" s="23" t="s">
        <v>136</v>
      </c>
      <c r="C31" s="7">
        <v>1</v>
      </c>
      <c r="D31" s="42" t="s">
        <v>46</v>
      </c>
      <c r="E31" s="21"/>
      <c r="F31" s="54"/>
      <c r="G31" s="41">
        <f>F31*C31/60</f>
        <v>0</v>
      </c>
      <c r="H31" s="39"/>
      <c r="I31" s="24">
        <f>G31*C36*C32*12</f>
        <v>0</v>
      </c>
    </row>
    <row r="32" spans="1:48" x14ac:dyDescent="0.25">
      <c r="B32" s="23" t="s">
        <v>48</v>
      </c>
      <c r="C32" s="6">
        <v>100</v>
      </c>
      <c r="D32" s="42"/>
      <c r="E32" s="21"/>
      <c r="F32" s="20"/>
      <c r="G32" s="20"/>
      <c r="H32" s="39"/>
      <c r="I32" s="22"/>
    </row>
    <row r="33" spans="1:12" x14ac:dyDescent="0.25">
      <c r="B33" s="23" t="s">
        <v>58</v>
      </c>
      <c r="C33" s="7">
        <v>1</v>
      </c>
      <c r="D33" s="20"/>
      <c r="E33" s="42" t="s">
        <v>47</v>
      </c>
      <c r="F33" s="20"/>
      <c r="G33" s="20"/>
      <c r="H33" s="20"/>
      <c r="I33" s="22"/>
    </row>
    <row r="34" spans="1:12" x14ac:dyDescent="0.25">
      <c r="B34" s="23" t="s">
        <v>23</v>
      </c>
      <c r="C34" s="60">
        <v>6081</v>
      </c>
      <c r="D34" s="21"/>
      <c r="E34" s="21" t="s">
        <v>57</v>
      </c>
      <c r="F34" s="8">
        <v>90</v>
      </c>
      <c r="G34" s="20"/>
      <c r="H34" s="20"/>
      <c r="I34" s="22"/>
    </row>
    <row r="35" spans="1:12" x14ac:dyDescent="0.25">
      <c r="B35" s="23" t="s">
        <v>39</v>
      </c>
      <c r="C35" s="7">
        <v>38</v>
      </c>
      <c r="D35" s="20"/>
      <c r="E35" s="21"/>
      <c r="F35" s="20"/>
      <c r="G35" s="20"/>
      <c r="H35" s="20"/>
      <c r="I35" s="22"/>
    </row>
    <row r="36" spans="1:12" x14ac:dyDescent="0.25">
      <c r="B36" s="36" t="s">
        <v>63</v>
      </c>
      <c r="C36" s="61">
        <f>C33*C34/4.333/C35</f>
        <v>36.931990719933921</v>
      </c>
      <c r="D36" s="20"/>
      <c r="E36" s="21" t="s">
        <v>132</v>
      </c>
      <c r="F36" s="37">
        <f>IF(F34=0,SUM(F27:F31),F34)</f>
        <v>90</v>
      </c>
      <c r="G36" s="38">
        <f>IF(F34=0,F36*C31/60,F34*C31/60)</f>
        <v>1.5</v>
      </c>
      <c r="H36" s="20"/>
      <c r="I36" s="22"/>
    </row>
    <row r="37" spans="1:12" x14ac:dyDescent="0.25">
      <c r="B37" s="36"/>
      <c r="C37" s="39"/>
      <c r="D37" s="20"/>
      <c r="E37" s="40"/>
      <c r="F37" s="26"/>
      <c r="G37" s="26"/>
      <c r="H37" s="20"/>
      <c r="I37" s="22"/>
    </row>
    <row r="38" spans="1:12" x14ac:dyDescent="0.25">
      <c r="B38" s="23" t="s">
        <v>134</v>
      </c>
      <c r="C38" s="39"/>
      <c r="D38" s="20"/>
      <c r="E38" s="40"/>
      <c r="F38" s="26"/>
      <c r="G38" s="26"/>
      <c r="H38" s="20"/>
      <c r="I38" s="22"/>
    </row>
    <row r="39" spans="1:12" x14ac:dyDescent="0.25">
      <c r="B39" s="23" t="s">
        <v>135</v>
      </c>
      <c r="C39" s="62"/>
      <c r="D39" s="20"/>
      <c r="E39" s="21"/>
      <c r="F39" s="20"/>
      <c r="G39" s="41"/>
      <c r="H39" s="20" t="s">
        <v>56</v>
      </c>
      <c r="I39" s="24">
        <f>C39*C32*12</f>
        <v>0</v>
      </c>
    </row>
    <row r="40" spans="1:12" ht="14.45" customHeight="1" x14ac:dyDescent="0.25">
      <c r="B40" s="23"/>
      <c r="C40" s="39"/>
      <c r="D40" s="20"/>
      <c r="E40" s="21"/>
      <c r="F40" s="20"/>
      <c r="G40" s="41"/>
      <c r="H40" s="20"/>
      <c r="I40" s="35"/>
    </row>
    <row r="41" spans="1:12" ht="14.45" customHeight="1" x14ac:dyDescent="0.25">
      <c r="B41" s="50" t="s">
        <v>72</v>
      </c>
      <c r="C41" s="51"/>
      <c r="D41" s="51"/>
      <c r="E41" s="51"/>
      <c r="F41" s="51"/>
      <c r="G41" s="52"/>
      <c r="H41" s="20"/>
      <c r="I41" s="35"/>
    </row>
    <row r="42" spans="1:12" ht="45" customHeight="1" x14ac:dyDescent="0.25">
      <c r="A42" s="9"/>
      <c r="B42" s="83" t="s">
        <v>151</v>
      </c>
      <c r="C42" s="84"/>
      <c r="D42" s="84"/>
      <c r="E42" s="84"/>
      <c r="F42" s="84"/>
      <c r="G42" s="84"/>
      <c r="H42" s="29"/>
      <c r="I42" s="35"/>
      <c r="K42" s="70" t="s">
        <v>76</v>
      </c>
      <c r="L42" s="71" t="s">
        <v>91</v>
      </c>
    </row>
    <row r="43" spans="1:12" x14ac:dyDescent="0.25">
      <c r="A43" s="9"/>
      <c r="B43" s="10"/>
      <c r="C43" s="11"/>
      <c r="D43" s="11"/>
      <c r="E43" s="11"/>
      <c r="F43" s="11"/>
      <c r="G43" s="12"/>
      <c r="H43" s="13" t="s">
        <v>55</v>
      </c>
      <c r="I43" s="58">
        <f>IF(F34=0, SUM(I27:I31, I39), (G36*C36*C32*12)+I39)</f>
        <v>66477.583295881064</v>
      </c>
      <c r="K43" s="68">
        <f>$I$43*VLOOKUP($H$2,$B$547:$C$549,2,)</f>
        <v>66477.583295881064</v>
      </c>
      <c r="L43" s="68">
        <f>$I$43*VLOOKUP($H$2,$B$547:$C$549,2,)*100/VLOOKUP($C$2,$B$555:$C$597,2,)</f>
        <v>66477.583295881064</v>
      </c>
    </row>
    <row r="49" spans="2:12" x14ac:dyDescent="0.25">
      <c r="B49" s="15" t="s">
        <v>66</v>
      </c>
      <c r="C49" s="16"/>
      <c r="D49" s="16"/>
      <c r="E49" s="17"/>
      <c r="F49" s="16"/>
      <c r="G49" s="16"/>
      <c r="H49" s="16"/>
      <c r="I49" s="18"/>
    </row>
    <row r="50" spans="2:12" x14ac:dyDescent="0.25">
      <c r="B50" s="19"/>
      <c r="C50" s="20"/>
      <c r="D50" s="20"/>
      <c r="E50" s="21"/>
      <c r="F50" s="20"/>
      <c r="G50" s="20"/>
      <c r="H50" s="20"/>
      <c r="I50" s="22"/>
    </row>
    <row r="51" spans="2:12" x14ac:dyDescent="0.25">
      <c r="B51" s="19" t="s">
        <v>64</v>
      </c>
      <c r="C51" s="24">
        <f>C36+(C16*F16*12/52/C35)</f>
        <v>36.931990719933921</v>
      </c>
      <c r="D51" s="20"/>
      <c r="E51" s="21"/>
      <c r="F51" s="20"/>
      <c r="G51" s="20"/>
      <c r="H51" s="20"/>
      <c r="I51" s="22"/>
    </row>
    <row r="52" spans="2:12" x14ac:dyDescent="0.25">
      <c r="B52" s="19" t="s">
        <v>65</v>
      </c>
      <c r="C52" s="24">
        <f>I23</f>
        <v>107971.42857142858</v>
      </c>
      <c r="D52" s="20"/>
      <c r="E52" s="21"/>
      <c r="F52" s="20"/>
      <c r="G52" s="20"/>
      <c r="H52" s="20"/>
      <c r="I52" s="22"/>
    </row>
    <row r="53" spans="2:12" x14ac:dyDescent="0.25">
      <c r="B53" s="23" t="s">
        <v>67</v>
      </c>
      <c r="C53" s="24">
        <f>G36*C36+C39</f>
        <v>55.397986079900882</v>
      </c>
      <c r="D53" s="20"/>
      <c r="E53" s="20"/>
      <c r="F53" s="20"/>
      <c r="G53" s="20"/>
      <c r="H53" s="20"/>
      <c r="I53" s="22"/>
    </row>
    <row r="54" spans="2:12" x14ac:dyDescent="0.25">
      <c r="B54" s="19"/>
      <c r="C54" s="20"/>
      <c r="D54" s="20"/>
      <c r="E54" s="21"/>
      <c r="F54" s="20"/>
      <c r="G54" s="20"/>
      <c r="H54" s="20"/>
      <c r="I54" s="22"/>
    </row>
    <row r="55" spans="2:12" x14ac:dyDescent="0.25">
      <c r="B55" s="19" t="s">
        <v>68</v>
      </c>
      <c r="C55" s="24">
        <f>C32*12</f>
        <v>1200</v>
      </c>
      <c r="D55" s="20"/>
      <c r="E55" s="21"/>
      <c r="F55" s="20"/>
      <c r="G55" s="20"/>
      <c r="H55" s="20"/>
      <c r="I55" s="22"/>
    </row>
    <row r="56" spans="2:12" x14ac:dyDescent="0.25">
      <c r="B56" s="19" t="s">
        <v>69</v>
      </c>
      <c r="C56" s="24">
        <f>C55*C31</f>
        <v>1200</v>
      </c>
      <c r="D56" s="20"/>
      <c r="E56" s="21"/>
      <c r="F56" s="20"/>
      <c r="G56" s="20"/>
      <c r="H56" s="20"/>
      <c r="I56" s="22"/>
    </row>
    <row r="57" spans="2:12" x14ac:dyDescent="0.25">
      <c r="B57" s="19"/>
      <c r="C57" s="25"/>
      <c r="D57" s="20"/>
      <c r="E57" s="21"/>
      <c r="F57" s="20"/>
      <c r="G57" s="20"/>
      <c r="H57" s="20"/>
      <c r="I57" s="22"/>
      <c r="K57" s="70" t="s">
        <v>76</v>
      </c>
      <c r="L57" s="71" t="s">
        <v>91</v>
      </c>
    </row>
    <row r="58" spans="2:12" x14ac:dyDescent="0.25">
      <c r="B58" s="19"/>
      <c r="C58" s="20"/>
      <c r="D58" s="20"/>
      <c r="E58" s="21"/>
      <c r="F58" s="20"/>
      <c r="G58" s="20"/>
      <c r="H58" s="26"/>
      <c r="I58" s="27"/>
    </row>
    <row r="59" spans="2:12" x14ac:dyDescent="0.25">
      <c r="B59" s="28" t="s">
        <v>71</v>
      </c>
      <c r="C59" s="58">
        <f>C53+(C52/C55)</f>
        <v>145.37417655609136</v>
      </c>
      <c r="D59" s="20"/>
      <c r="E59" s="21"/>
      <c r="F59" s="20"/>
      <c r="G59" s="20"/>
      <c r="H59" s="29" t="s">
        <v>59</v>
      </c>
      <c r="I59" s="58">
        <f>C53*C55+C52</f>
        <v>174449.01186730963</v>
      </c>
      <c r="K59" s="68">
        <f>$I$59*VLOOKUP($H$2,$B$547:$C$549,2,)</f>
        <v>174449.01186730963</v>
      </c>
      <c r="L59" s="68">
        <f>$I$59*VLOOKUP($H$2,$B$547:$C$549,2,)*100/VLOOKUP($C$2,$B$555:$C$597,2,)</f>
        <v>174449.01186730963</v>
      </c>
    </row>
    <row r="60" spans="2:12" x14ac:dyDescent="0.25">
      <c r="B60" s="30" t="s">
        <v>70</v>
      </c>
      <c r="C60" s="58">
        <f>C59/C31</f>
        <v>145.37417655609136</v>
      </c>
      <c r="D60" s="12"/>
      <c r="E60" s="31"/>
      <c r="F60" s="12"/>
      <c r="G60" s="12"/>
      <c r="H60" s="12"/>
      <c r="I60" s="27"/>
    </row>
    <row r="62" spans="2:12" x14ac:dyDescent="0.25">
      <c r="C62" s="66" t="s">
        <v>76</v>
      </c>
      <c r="D62" s="67" t="s">
        <v>91</v>
      </c>
    </row>
    <row r="63" spans="2:12" x14ac:dyDescent="0.25">
      <c r="B63" s="44" t="s">
        <v>71</v>
      </c>
      <c r="C63" s="68">
        <f>$C$59*VLOOKUP($H$2,$B$547:$C$549,2,)</f>
        <v>145.37417655609136</v>
      </c>
      <c r="D63" s="68">
        <f>$C$59*VLOOKUP($H$2,$B$547:$C$549,2,)*100/VLOOKUP($C$2,$B$555:$C$597,2,)</f>
        <v>145.37417655609136</v>
      </c>
    </row>
    <row r="64" spans="2:12" x14ac:dyDescent="0.25">
      <c r="B64" s="44" t="s">
        <v>70</v>
      </c>
      <c r="C64" s="69">
        <f>$C$60*VLOOKUP($H$2,$B$547:$C$549,2,)</f>
        <v>145.37417655609136</v>
      </c>
      <c r="D64" s="69">
        <f>$C$60*VLOOKUP($H$2,$B$547:$C$549,2,)*100/VLOOKUP($C$2,$B$555:$C$597,2,)</f>
        <v>145.37417655609136</v>
      </c>
    </row>
    <row r="517" spans="2:21" x14ac:dyDescent="0.25">
      <c r="B517" s="14" t="s">
        <v>50</v>
      </c>
    </row>
    <row r="520" spans="2:21" x14ac:dyDescent="0.25">
      <c r="B520" s="14" t="s">
        <v>31</v>
      </c>
      <c r="E520" s="33" t="s">
        <v>33</v>
      </c>
      <c r="H520" s="33" t="s">
        <v>34</v>
      </c>
      <c r="J520" s="33" t="s">
        <v>35</v>
      </c>
      <c r="M520" s="33" t="s">
        <v>36</v>
      </c>
      <c r="P520" s="14" t="s">
        <v>38</v>
      </c>
      <c r="Q520" s="33"/>
      <c r="U520" s="14" t="s">
        <v>49</v>
      </c>
    </row>
    <row r="521" spans="2:21" x14ac:dyDescent="0.25">
      <c r="B521" s="34" t="s">
        <v>137</v>
      </c>
      <c r="E521" s="33" t="s">
        <v>15</v>
      </c>
      <c r="H521" s="33">
        <v>1</v>
      </c>
      <c r="J521" s="33" t="s">
        <v>41</v>
      </c>
      <c r="M521" s="33" t="s">
        <v>1</v>
      </c>
      <c r="P521" s="14">
        <v>0</v>
      </c>
      <c r="U521" s="14" t="s">
        <v>10</v>
      </c>
    </row>
    <row r="522" spans="2:21" x14ac:dyDescent="0.25">
      <c r="B522" s="34" t="s">
        <v>18</v>
      </c>
      <c r="E522" s="33" t="s">
        <v>16</v>
      </c>
      <c r="H522" s="33">
        <v>10</v>
      </c>
      <c r="J522" s="33" t="s">
        <v>42</v>
      </c>
      <c r="M522" s="33" t="s">
        <v>2</v>
      </c>
      <c r="P522" s="14">
        <v>1</v>
      </c>
      <c r="U522" s="14" t="s">
        <v>12</v>
      </c>
    </row>
    <row r="523" spans="2:21" x14ac:dyDescent="0.25">
      <c r="B523" s="34" t="s">
        <v>4</v>
      </c>
      <c r="E523" s="33" t="s">
        <v>17</v>
      </c>
      <c r="H523" s="33">
        <v>50</v>
      </c>
      <c r="J523" s="33" t="s">
        <v>43</v>
      </c>
      <c r="M523" s="33" t="s">
        <v>3</v>
      </c>
      <c r="P523" s="14">
        <v>2</v>
      </c>
      <c r="U523" s="14" t="s">
        <v>80</v>
      </c>
    </row>
    <row r="524" spans="2:21" x14ac:dyDescent="0.25">
      <c r="B524" s="34" t="s">
        <v>5</v>
      </c>
      <c r="E524" s="33" t="s">
        <v>0</v>
      </c>
      <c r="H524" s="33">
        <v>100</v>
      </c>
      <c r="P524" s="14">
        <v>3</v>
      </c>
      <c r="U524" s="14" t="s">
        <v>11</v>
      </c>
    </row>
    <row r="525" spans="2:21" x14ac:dyDescent="0.25">
      <c r="B525" s="34" t="s">
        <v>6</v>
      </c>
      <c r="E525" s="14"/>
      <c r="H525" s="33">
        <v>500</v>
      </c>
      <c r="P525" s="14">
        <v>4</v>
      </c>
      <c r="U525" s="14" t="s">
        <v>82</v>
      </c>
    </row>
    <row r="526" spans="2:21" x14ac:dyDescent="0.25">
      <c r="B526" s="34" t="s">
        <v>9</v>
      </c>
      <c r="E526" s="14"/>
      <c r="H526" s="33">
        <v>1000</v>
      </c>
      <c r="P526" s="14">
        <v>5</v>
      </c>
      <c r="U526" s="14" t="s">
        <v>81</v>
      </c>
    </row>
    <row r="527" spans="2:21" x14ac:dyDescent="0.25">
      <c r="B527" s="34" t="s">
        <v>7</v>
      </c>
      <c r="E527" s="14"/>
      <c r="H527" s="33">
        <v>5000</v>
      </c>
      <c r="P527" s="14">
        <v>6</v>
      </c>
      <c r="U527" s="14" t="s">
        <v>13</v>
      </c>
    </row>
    <row r="528" spans="2:21" x14ac:dyDescent="0.25">
      <c r="B528" s="34" t="s">
        <v>8</v>
      </c>
      <c r="E528" s="14"/>
      <c r="H528" s="33">
        <v>10000</v>
      </c>
      <c r="P528" s="14">
        <v>7</v>
      </c>
    </row>
    <row r="529" spans="2:16" x14ac:dyDescent="0.25">
      <c r="B529" s="34" t="s">
        <v>19</v>
      </c>
      <c r="E529" s="14"/>
      <c r="H529" s="33">
        <v>50000</v>
      </c>
      <c r="P529" s="14">
        <v>8</v>
      </c>
    </row>
    <row r="530" spans="2:16" x14ac:dyDescent="0.25">
      <c r="B530" s="34" t="s">
        <v>0</v>
      </c>
      <c r="E530" s="14"/>
      <c r="H530" s="33">
        <v>100000</v>
      </c>
      <c r="P530" s="14">
        <v>9</v>
      </c>
    </row>
    <row r="531" spans="2:16" x14ac:dyDescent="0.25">
      <c r="E531" s="14"/>
      <c r="H531" s="33"/>
      <c r="P531" s="14">
        <v>10</v>
      </c>
    </row>
    <row r="532" spans="2:16" x14ac:dyDescent="0.25">
      <c r="E532" s="14"/>
    </row>
    <row r="533" spans="2:16" x14ac:dyDescent="0.25">
      <c r="E533" s="14"/>
    </row>
    <row r="539" spans="2:16" x14ac:dyDescent="0.25">
      <c r="B539" s="14" t="s">
        <v>78</v>
      </c>
    </row>
    <row r="541" spans="2:16" x14ac:dyDescent="0.25">
      <c r="B541" s="14" t="s">
        <v>83</v>
      </c>
    </row>
    <row r="542" spans="2:16" x14ac:dyDescent="0.25">
      <c r="B542" s="34" t="s">
        <v>76</v>
      </c>
      <c r="E542" s="34"/>
      <c r="F542" s="34"/>
      <c r="G542" s="34"/>
      <c r="H542" s="34"/>
    </row>
    <row r="543" spans="2:16" x14ac:dyDescent="0.25">
      <c r="B543" s="34" t="s">
        <v>75</v>
      </c>
      <c r="E543" s="34"/>
      <c r="F543" s="34"/>
      <c r="G543" s="34"/>
      <c r="H543" s="34"/>
    </row>
    <row r="544" spans="2:16" x14ac:dyDescent="0.25">
      <c r="B544" s="34" t="s">
        <v>77</v>
      </c>
      <c r="C544" s="34"/>
      <c r="D544" s="34"/>
      <c r="E544" s="34"/>
      <c r="F544" s="34"/>
      <c r="G544" s="34"/>
      <c r="H544" s="34"/>
    </row>
    <row r="545" spans="2:8" x14ac:dyDescent="0.25">
      <c r="C545" s="34"/>
      <c r="D545" s="34"/>
      <c r="E545" s="34"/>
      <c r="F545" s="34"/>
      <c r="G545" s="34"/>
      <c r="H545" s="34"/>
    </row>
    <row r="546" spans="2:8" x14ac:dyDescent="0.25">
      <c r="B546" s="56" t="s">
        <v>90</v>
      </c>
      <c r="C546" s="56" t="s">
        <v>79</v>
      </c>
      <c r="D546" s="56"/>
      <c r="E546" s="34"/>
      <c r="H546" s="34"/>
    </row>
    <row r="547" spans="2:8" x14ac:dyDescent="0.25">
      <c r="B547" s="34" t="s">
        <v>76</v>
      </c>
      <c r="C547" s="78">
        <v>1</v>
      </c>
      <c r="D547" s="34"/>
      <c r="E547" s="34"/>
      <c r="F547" s="34"/>
      <c r="G547" s="34"/>
      <c r="H547" s="34"/>
    </row>
    <row r="548" spans="2:8" x14ac:dyDescent="0.25">
      <c r="B548" s="34" t="s">
        <v>75</v>
      </c>
      <c r="C548" s="78">
        <v>1.1355900000000001</v>
      </c>
      <c r="D548" s="78"/>
      <c r="E548" s="34"/>
      <c r="F548" s="34"/>
      <c r="G548" s="34"/>
      <c r="H548" s="34"/>
    </row>
    <row r="549" spans="2:8" x14ac:dyDescent="0.25">
      <c r="B549" s="34" t="s">
        <v>77</v>
      </c>
      <c r="C549" s="55">
        <v>0.89676</v>
      </c>
    </row>
    <row r="552" spans="2:8" x14ac:dyDescent="0.25">
      <c r="B552" s="56" t="s">
        <v>92</v>
      </c>
      <c r="C552" s="72"/>
    </row>
    <row r="553" spans="2:8" x14ac:dyDescent="0.25">
      <c r="B553" s="79" t="s">
        <v>145</v>
      </c>
    </row>
    <row r="555" spans="2:8" x14ac:dyDescent="0.25">
      <c r="B555" s="64" t="s">
        <v>89</v>
      </c>
      <c r="C555" s="63">
        <v>100</v>
      </c>
    </row>
    <row r="556" spans="2:8" x14ac:dyDescent="0.25">
      <c r="B556" s="14" t="s">
        <v>93</v>
      </c>
      <c r="C556" s="14">
        <v>100</v>
      </c>
    </row>
    <row r="557" spans="2:8" x14ac:dyDescent="0.25">
      <c r="B557" s="14" t="s">
        <v>84</v>
      </c>
      <c r="C557" s="14">
        <v>110.8</v>
      </c>
    </row>
    <row r="558" spans="2:8" x14ac:dyDescent="0.25">
      <c r="B558" s="14" t="s">
        <v>94</v>
      </c>
      <c r="C558" s="14">
        <v>49.6</v>
      </c>
    </row>
    <row r="559" spans="2:8" x14ac:dyDescent="0.25">
      <c r="B559" s="14" t="s">
        <v>95</v>
      </c>
      <c r="C559" s="14">
        <v>68.2</v>
      </c>
    </row>
    <row r="560" spans="2:8" x14ac:dyDescent="0.25">
      <c r="B560" s="14" t="s">
        <v>96</v>
      </c>
      <c r="C560" s="14">
        <v>138.9</v>
      </c>
    </row>
    <row r="561" spans="2:3" x14ac:dyDescent="0.25">
      <c r="B561" s="14" t="s">
        <v>97</v>
      </c>
      <c r="C561" s="14">
        <v>104</v>
      </c>
    </row>
    <row r="562" spans="2:3" x14ac:dyDescent="0.25">
      <c r="B562" s="14" t="s">
        <v>88</v>
      </c>
      <c r="C562" s="14">
        <v>78.099999999999994</v>
      </c>
    </row>
    <row r="563" spans="2:3" x14ac:dyDescent="0.25">
      <c r="B563" s="14" t="s">
        <v>98</v>
      </c>
      <c r="C563" s="14">
        <v>127.2</v>
      </c>
    </row>
    <row r="564" spans="2:3" x14ac:dyDescent="0.25">
      <c r="B564" s="14" t="s">
        <v>99</v>
      </c>
      <c r="C564" s="14">
        <v>85.4</v>
      </c>
    </row>
    <row r="565" spans="2:3" x14ac:dyDescent="0.25">
      <c r="B565" s="14" t="s">
        <v>100</v>
      </c>
      <c r="C565" s="14">
        <v>92.5</v>
      </c>
    </row>
    <row r="566" spans="2:3" x14ac:dyDescent="0.25">
      <c r="B566" s="14" t="s">
        <v>86</v>
      </c>
      <c r="C566" s="14">
        <v>109.5</v>
      </c>
    </row>
    <row r="567" spans="2:3" x14ac:dyDescent="0.25">
      <c r="B567" s="14" t="s">
        <v>101</v>
      </c>
      <c r="C567" s="14">
        <v>67.400000000000006</v>
      </c>
    </row>
    <row r="568" spans="2:3" x14ac:dyDescent="0.25">
      <c r="B568" s="14" t="s">
        <v>102</v>
      </c>
      <c r="C568" s="14">
        <v>100.9</v>
      </c>
    </row>
    <row r="569" spans="2:3" x14ac:dyDescent="0.25">
      <c r="B569" s="14" t="s">
        <v>103</v>
      </c>
      <c r="C569" s="14">
        <v>89.5</v>
      </c>
    </row>
    <row r="570" spans="2:3" x14ac:dyDescent="0.25">
      <c r="B570" s="14" t="s">
        <v>104</v>
      </c>
      <c r="C570" s="14">
        <v>72.8</v>
      </c>
    </row>
    <row r="571" spans="2:3" x14ac:dyDescent="0.25">
      <c r="B571" s="14" t="s">
        <v>105</v>
      </c>
      <c r="C571" s="14">
        <v>64.5</v>
      </c>
    </row>
    <row r="572" spans="2:3" x14ac:dyDescent="0.25">
      <c r="B572" s="14" t="s">
        <v>106</v>
      </c>
      <c r="C572" s="14">
        <v>125.9</v>
      </c>
    </row>
    <row r="573" spans="2:3" x14ac:dyDescent="0.25">
      <c r="B573" s="14" t="s">
        <v>107</v>
      </c>
      <c r="C573" s="14">
        <v>63</v>
      </c>
    </row>
    <row r="574" spans="2:3" x14ac:dyDescent="0.25">
      <c r="B574" s="14" t="s">
        <v>108</v>
      </c>
      <c r="C574" s="14">
        <v>81.7</v>
      </c>
    </row>
    <row r="575" spans="2:3" x14ac:dyDescent="0.25">
      <c r="B575" s="14" t="s">
        <v>87</v>
      </c>
      <c r="C575" s="14">
        <v>112.1</v>
      </c>
    </row>
    <row r="576" spans="2:3" x14ac:dyDescent="0.25">
      <c r="B576" s="14" t="s">
        <v>109</v>
      </c>
      <c r="C576" s="14">
        <v>108.6</v>
      </c>
    </row>
    <row r="577" spans="2:3" x14ac:dyDescent="0.25">
      <c r="B577" s="14" t="s">
        <v>110</v>
      </c>
      <c r="C577" s="14">
        <v>56.7</v>
      </c>
    </row>
    <row r="578" spans="2:3" x14ac:dyDescent="0.25">
      <c r="B578" s="14" t="s">
        <v>111</v>
      </c>
      <c r="C578" s="14">
        <v>86</v>
      </c>
    </row>
    <row r="579" spans="2:3" x14ac:dyDescent="0.25">
      <c r="B579" s="14" t="s">
        <v>112</v>
      </c>
      <c r="C579" s="14">
        <v>52.6</v>
      </c>
    </row>
    <row r="580" spans="2:3" x14ac:dyDescent="0.25">
      <c r="B580" s="14" t="s">
        <v>113</v>
      </c>
      <c r="C580" s="14">
        <v>83.8</v>
      </c>
    </row>
    <row r="581" spans="2:3" x14ac:dyDescent="0.25">
      <c r="B581" s="14" t="s">
        <v>114</v>
      </c>
      <c r="C581" s="14">
        <v>69.8</v>
      </c>
    </row>
    <row r="582" spans="2:3" x14ac:dyDescent="0.25">
      <c r="B582" s="14" t="s">
        <v>85</v>
      </c>
      <c r="C582" s="14">
        <v>122.4</v>
      </c>
    </row>
    <row r="583" spans="2:3" x14ac:dyDescent="0.25">
      <c r="B583" s="14" t="s">
        <v>115</v>
      </c>
      <c r="C583" s="14">
        <v>125.5</v>
      </c>
    </row>
    <row r="584" spans="2:3" x14ac:dyDescent="0.25">
      <c r="B584" s="14" t="s">
        <v>116</v>
      </c>
      <c r="C584" s="14">
        <v>116.4</v>
      </c>
    </row>
    <row r="585" spans="2:3" x14ac:dyDescent="0.25">
      <c r="B585" s="14" t="s">
        <v>117</v>
      </c>
      <c r="C585" s="14">
        <v>166.1</v>
      </c>
    </row>
    <row r="586" spans="2:3" x14ac:dyDescent="0.25">
      <c r="B586" s="14" t="s">
        <v>118</v>
      </c>
      <c r="C586" s="32" t="s">
        <v>119</v>
      </c>
    </row>
    <row r="587" spans="2:3" x14ac:dyDescent="0.25">
      <c r="B587" s="14" t="s">
        <v>120</v>
      </c>
      <c r="C587" s="14">
        <v>149.5</v>
      </c>
    </row>
    <row r="588" spans="2:3" x14ac:dyDescent="0.25">
      <c r="B588" s="14" t="s">
        <v>121</v>
      </c>
      <c r="C588" s="14">
        <v>159.9</v>
      </c>
    </row>
    <row r="589" spans="2:3" x14ac:dyDescent="0.25">
      <c r="B589" s="14" t="s">
        <v>122</v>
      </c>
      <c r="C589" s="14">
        <v>55.6</v>
      </c>
    </row>
    <row r="590" spans="2:3" x14ac:dyDescent="0.25">
      <c r="B590" s="14" t="s">
        <v>123</v>
      </c>
      <c r="C590" s="14">
        <v>47.9</v>
      </c>
    </row>
    <row r="591" spans="2:3" x14ac:dyDescent="0.25">
      <c r="B591" s="14" t="s">
        <v>124</v>
      </c>
      <c r="C591" s="14">
        <v>49.8</v>
      </c>
    </row>
    <row r="592" spans="2:3" x14ac:dyDescent="0.25">
      <c r="B592" s="14" t="s">
        <v>125</v>
      </c>
      <c r="C592" s="14">
        <v>51.9</v>
      </c>
    </row>
    <row r="593" spans="2:3" x14ac:dyDescent="0.25">
      <c r="B593" s="14" t="s">
        <v>126</v>
      </c>
      <c r="C593" s="14">
        <v>52.7</v>
      </c>
    </row>
    <row r="594" spans="2:3" x14ac:dyDescent="0.25">
      <c r="B594" s="14" t="s">
        <v>127</v>
      </c>
      <c r="C594" s="14">
        <v>52</v>
      </c>
    </row>
    <row r="595" spans="2:3" x14ac:dyDescent="0.25">
      <c r="B595" s="14" t="s">
        <v>128</v>
      </c>
      <c r="C595" s="14">
        <v>52.1</v>
      </c>
    </row>
    <row r="596" spans="2:3" x14ac:dyDescent="0.25">
      <c r="B596" s="14" t="s">
        <v>129</v>
      </c>
      <c r="C596" s="14">
        <v>114.4</v>
      </c>
    </row>
    <row r="597" spans="2:3" x14ac:dyDescent="0.25">
      <c r="B597" s="14" t="s">
        <v>130</v>
      </c>
      <c r="C597" s="14">
        <v>110.8</v>
      </c>
    </row>
  </sheetData>
  <sheetProtection password="D792" sheet="1" selectLockedCells="1"/>
  <protectedRanges>
    <protectedRange sqref="B2 D2:F3 H2" name="Headings"/>
  </protectedRanges>
  <mergeCells count="9">
    <mergeCell ref="F25:F26"/>
    <mergeCell ref="G25:G26"/>
    <mergeCell ref="B42:G42"/>
    <mergeCell ref="D2:F2"/>
    <mergeCell ref="D3:F3"/>
    <mergeCell ref="B9:G9"/>
    <mergeCell ref="E19:F19"/>
    <mergeCell ref="E20:F20"/>
    <mergeCell ref="B22:G22"/>
  </mergeCells>
  <conditionalFormatting sqref="C6 F6 I10 I14:I18 F16:F18 I23 C34 I27:I31 I39 I43 C52:C53 C59 I59">
    <cfRule type="expression" dxfId="129" priority="10">
      <formula>$H$2="£ Sterling"</formula>
    </cfRule>
  </conditionalFormatting>
  <conditionalFormatting sqref="C6 F6 I10 I14:I18 F16:F18 I23 C34 I27:I31 I39 I43 C52:C53 C59 I59">
    <cfRule type="expression" dxfId="128" priority="9">
      <formula>$H$2="$ US Dollars"</formula>
    </cfRule>
  </conditionalFormatting>
  <conditionalFormatting sqref="C6 F6 I10 I14:I18 F16:F18 I23 C34 I27:I31 I39 I43 C52:C53 C59 I59">
    <cfRule type="expression" dxfId="127" priority="8">
      <formula>$H$2="€ Euros"</formula>
    </cfRule>
  </conditionalFormatting>
  <conditionalFormatting sqref="F15 C36 C39 C51 C60">
    <cfRule type="expression" dxfId="126" priority="5">
      <formula>$H$2="$ US Dollars"</formula>
    </cfRule>
    <cfRule type="expression" dxfId="125" priority="6">
      <formula>$H$2="£ Sterling"</formula>
    </cfRule>
    <cfRule type="expression" dxfId="124" priority="7">
      <formula>$H$2="€ Euros"</formula>
    </cfRule>
  </conditionalFormatting>
  <conditionalFormatting sqref="L12">
    <cfRule type="expression" dxfId="123" priority="4">
      <formula>$H$2="€ Euros"</formula>
    </cfRule>
  </conditionalFormatting>
  <conditionalFormatting sqref="C7">
    <cfRule type="expression" dxfId="122" priority="3">
      <formula>$H$2="£ Sterling"</formula>
    </cfRule>
  </conditionalFormatting>
  <conditionalFormatting sqref="C7">
    <cfRule type="expression" dxfId="121" priority="2">
      <formula>$H$2="$ US Dollars"</formula>
    </cfRule>
  </conditionalFormatting>
  <conditionalFormatting sqref="C7">
    <cfRule type="expression" dxfId="120" priority="1">
      <formula>$H$2="€ Euros"</formula>
    </cfRule>
  </conditionalFormatting>
  <dataValidations count="21">
    <dataValidation allowBlank="1" showInputMessage="1" showErrorMessage="1" prompt="Include any equipment (capital) upgrade costs during lifetime of facility (but not annual maintenance contracts, licenses, etc.)" sqref="C7" xr:uid="{89BA405F-78BF-4333-B981-BD474EC8DA35}"/>
    <dataValidation allowBlank="1" showInputMessage="1" showErrorMessage="1" prompt="Other costs are costs of procurement, making a room ready e.g., decorating, wiring, etc._x000a_" sqref="F6" xr:uid="{10D0D627-0525-4CAD-A834-A7542CAD3D13}"/>
    <dataValidation allowBlank="1" showInputMessage="1" showErrorMessage="1" prompt="Capital equipment costs include digitisation equipment, furniture, computers, etc." sqref="C6" xr:uid="{9B064D49-6E39-4ACC-B8A7-AAE68E90CE2D}"/>
    <dataValidation allowBlank="1" showErrorMessage="1" sqref="B19" xr:uid="{44C56239-3592-45A0-BB70-62362435F7C5}"/>
    <dataValidation allowBlank="1" showInputMessage="1" showErrorMessage="1" prompt="If applicable, include costs of any upgrade(s) divided over the lifetimeof the digitisation facility e.g., if upgrade cost is €10,000 and lifetime is 5 years, enter €2,000." sqref="C18" xr:uid="{10A2B536-46B4-4DA7-8228-6A73E42F5368}"/>
    <dataValidation type="list" allowBlank="1" showInputMessage="1" showErrorMessage="1" prompt="Choose currency to use from dropdown list_x000a_" sqref="H2:H3" xr:uid="{5BC364CB-5848-4976-97A9-57B89EC74BDF}">
      <formula1>$B$541:$B$544</formula1>
    </dataValidation>
    <dataValidation type="list" allowBlank="1" showInputMessage="1" prompt="Select your institution from the drop-down list, or enter if not listed" sqref="B2:B3" xr:uid="{62E13654-B082-4928-BCEE-3F0B30F218EC}">
      <formula1>$U$520:$U$527</formula1>
    </dataValidation>
    <dataValidation type="list" allowBlank="1" showInputMessage="1" showErrorMessage="1" prompt="Choose specimen category" sqref="B27" xr:uid="{C7266D37-E25C-4FBD-8CFA-4C1E13F06E82}">
      <formula1>$B$520:$B$530</formula1>
    </dataValidation>
    <dataValidation type="list" errorStyle="information" allowBlank="1" showInputMessage="1" prompt="Choose typical batch size (or enter own value)" sqref="C31" xr:uid="{992572D3-ED62-4683-B127-323F2305F3E5}">
      <formula1>$H$520:$H$530</formula1>
    </dataValidation>
    <dataValidation type="list" allowBlank="1" showInputMessage="1" showErrorMessage="1" prompt="Choose unit of digitisation" sqref="B30" xr:uid="{DF24492A-9198-4672-B879-12AF39B44B61}">
      <formula1>$E$520:$E$524</formula1>
    </dataValidation>
    <dataValidation type="list" allowBlank="1" showInputMessage="1" showErrorMessage="1" prompt="Select number of staff needed for digitisation (additional to number of fixed staff, above)" sqref="C33" xr:uid="{8198EB7B-47D4-4715-B487-A220405E0208}">
      <formula1>$P$520:$P$532</formula1>
    </dataValidation>
    <dataValidation type="list" allowBlank="1" showInputMessage="1" showErrorMessage="1" prompt="Choose type of process" sqref="B29" xr:uid="{D6EE3427-7B1A-4F71-A2AA-9E79C98703E1}">
      <formula1>$M$520:$M$523</formula1>
    </dataValidation>
    <dataValidation type="list" allowBlank="1" showInputMessage="1" showErrorMessage="1" prompt="Choose type of workflow" sqref="B28" xr:uid="{7FE05E94-4B6E-466F-BA15-F18B01783EDB}">
      <formula1>$J$520:$J$523</formula1>
    </dataValidation>
    <dataValidation allowBlank="1" showInputMessage="1" showErrorMessage="1" prompt="This cell not currently used" sqref="C17" xr:uid="{C8C5B71F-A098-481D-9070-F104180BC2DA}"/>
    <dataValidation allowBlank="1" showInputMessage="1" showErrorMessage="1" prompt="Enter in minutes. Add up for all persons involved. See Instructions sheet for explanation of the tasks_x000a_" sqref="F27:F31" xr:uid="{35A28FA0-F331-4725-8306-8FBC77BEE562}"/>
    <dataValidation allowBlank="1" showInputMessage="1" showErrorMessage="1" prompt="Only enter a value here if you do not know the split across the above 5 task clusters" sqref="F34" xr:uid="{EEEA8589-1B5A-412A-BEAE-0BFCC4D3CFB4}"/>
    <dataValidation allowBlank="1" showInputMessage="1" showErrorMessage="1" prompt="Number of hours in working week (change if necessary)" sqref="C35" xr:uid="{68AF87F5-0BDB-44C9-9A69-1B9FAF23FE91}"/>
    <dataValidation allowBlank="1" showInputMessage="1" showErrorMessage="1" prompt="Enter monthly average gross salary for number of staff selected above" sqref="C34" xr:uid="{3C719C25-80A3-459F-A8F8-B61898FAE045}"/>
    <dataValidation allowBlank="1" showInputMessage="1" showErrorMessage="1" prompt="Enter room area of your digitisation facility" sqref="C15" xr:uid="{5144ABC8-2AE6-4252-8986-068B044CED24}"/>
    <dataValidation type="decimal" allowBlank="1" showInputMessage="1" showErrorMessage="1" prompt="Enter depreciation period in years (straight line depreciation will be used)" sqref="C14" xr:uid="{9A269DE0-D33D-4B14-8C96-7CA33E80A996}">
      <formula1>1</formula1>
      <formula2>7</formula2>
    </dataValidation>
    <dataValidation type="decimal" showInputMessage="1" showErrorMessage="1" prompt="Enter value between 0 and 20 for number of fixed staff supporting the facility i.e., even if no digitisation is occurring. Part FTE allowed." sqref="C16" xr:uid="{1BE8549E-A12B-430D-B8EA-22BF9E93A549}">
      <formula1>0</formula1>
      <formula2>20</formula2>
    </dataValidation>
  </dataValidations>
  <hyperlinks>
    <hyperlink ref="B553" r:id="rId1" xr:uid="{76E4D91C-EC46-4298-8FE1-3D3F36D6D241}"/>
  </hyperlinks>
  <pageMargins left="0.7" right="0.7" top="0.75" bottom="0.75" header="0.3" footer="0.3"/>
  <pageSetup paperSize="9" orientation="portrait" horizontalDpi="4294967293"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5C438-4CF0-4358-9605-7A7277B9E704}">
  <dimension ref="A2:AV597"/>
  <sheetViews>
    <sheetView workbookViewId="0">
      <selection activeCell="F6" sqref="F6"/>
    </sheetView>
  </sheetViews>
  <sheetFormatPr defaultColWidth="8.7109375" defaultRowHeight="15" x14ac:dyDescent="0.25"/>
  <cols>
    <col min="1" max="1" width="1.5703125" style="14" customWidth="1"/>
    <col min="2" max="2" width="55.5703125" style="14" bestFit="1" customWidth="1"/>
    <col min="3" max="3" width="10.28515625" style="14" bestFit="1" customWidth="1"/>
    <col min="4" max="4" width="8.7109375" style="14"/>
    <col min="5" max="5" width="29.85546875" style="32" customWidth="1"/>
    <col min="6" max="6" width="10.28515625" style="14" bestFit="1" customWidth="1"/>
    <col min="7" max="7" width="8.7109375" style="14"/>
    <col min="8" max="8" width="24.85546875" style="14" bestFit="1" customWidth="1"/>
    <col min="9" max="9" width="11.42578125" style="14" bestFit="1" customWidth="1"/>
    <col min="10" max="10" width="1.140625" style="14" customWidth="1"/>
    <col min="11" max="16384" width="8.7109375" style="14"/>
  </cols>
  <sheetData>
    <row r="2" spans="1:14" ht="42.6" customHeight="1" x14ac:dyDescent="0.25">
      <c r="B2" s="1" t="s">
        <v>146</v>
      </c>
      <c r="C2" s="57" t="str">
        <f>_xlfn.SWITCH($B$2, "APM","Belgium","LUOMUS","Finland","MNHN","France","Naturalis","Netherlands","NHMUK","UK","RBGK","UK","UTARTU","Estonia","- -")</f>
        <v>- -</v>
      </c>
      <c r="D2" s="85" t="s">
        <v>147</v>
      </c>
      <c r="E2" s="86"/>
      <c r="F2" s="87"/>
      <c r="H2" s="80" t="s">
        <v>76</v>
      </c>
    </row>
    <row r="3" spans="1:14" ht="42.6" customHeight="1" x14ac:dyDescent="0.25">
      <c r="C3" s="57"/>
      <c r="D3" s="88"/>
      <c r="E3" s="89"/>
      <c r="F3" s="90"/>
    </row>
    <row r="5" spans="1:14" x14ac:dyDescent="0.25">
      <c r="A5" s="9"/>
      <c r="B5" s="15" t="s">
        <v>30</v>
      </c>
      <c r="C5" s="16"/>
      <c r="D5" s="16"/>
      <c r="E5" s="17"/>
      <c r="F5" s="16"/>
      <c r="G5" s="16"/>
      <c r="H5" s="16"/>
      <c r="I5" s="18"/>
    </row>
    <row r="6" spans="1:14" ht="14.45" customHeight="1" x14ac:dyDescent="0.25">
      <c r="A6" s="48"/>
      <c r="B6" s="36" t="s">
        <v>22</v>
      </c>
      <c r="C6" s="2">
        <v>40000</v>
      </c>
      <c r="D6" s="20"/>
      <c r="E6" s="49" t="s">
        <v>54</v>
      </c>
      <c r="F6" s="2"/>
      <c r="G6" s="20"/>
      <c r="H6" s="20"/>
      <c r="I6" s="22"/>
    </row>
    <row r="7" spans="1:14" ht="14.45" customHeight="1" x14ac:dyDescent="0.25">
      <c r="A7" s="9"/>
      <c r="B7" s="36" t="s">
        <v>140</v>
      </c>
      <c r="C7" s="2"/>
      <c r="D7" s="20"/>
      <c r="E7" s="20"/>
      <c r="F7" s="20"/>
      <c r="G7" s="20"/>
      <c r="H7" s="20"/>
      <c r="I7" s="22"/>
    </row>
    <row r="8" spans="1:14" ht="14.45" customHeight="1" x14ac:dyDescent="0.25">
      <c r="A8" s="9"/>
      <c r="B8" s="53" t="s">
        <v>144</v>
      </c>
      <c r="C8" s="20"/>
      <c r="D8" s="20"/>
      <c r="E8" s="20"/>
      <c r="F8" s="20"/>
      <c r="G8" s="20"/>
      <c r="H8" s="20"/>
      <c r="I8" s="22"/>
    </row>
    <row r="9" spans="1:14" ht="45" customHeight="1" x14ac:dyDescent="0.25">
      <c r="A9" s="9"/>
      <c r="B9" s="83" t="s">
        <v>162</v>
      </c>
      <c r="C9" s="84"/>
      <c r="D9" s="84"/>
      <c r="E9" s="84"/>
      <c r="F9" s="84"/>
      <c r="G9" s="84"/>
      <c r="H9" s="29"/>
      <c r="I9" s="35"/>
      <c r="K9" s="70" t="s">
        <v>76</v>
      </c>
      <c r="L9" s="71" t="s">
        <v>91</v>
      </c>
      <c r="M9" s="65"/>
      <c r="N9" s="65"/>
    </row>
    <row r="10" spans="1:14" ht="14.45" customHeight="1" x14ac:dyDescent="0.25">
      <c r="A10" s="9"/>
      <c r="B10" s="10"/>
      <c r="C10" s="11"/>
      <c r="D10" s="11"/>
      <c r="E10" s="11"/>
      <c r="F10" s="11"/>
      <c r="G10" s="12"/>
      <c r="H10" s="46" t="s">
        <v>29</v>
      </c>
      <c r="I10" s="58">
        <f>C6+F6</f>
        <v>40000</v>
      </c>
      <c r="K10" s="68">
        <f>$I$10*VLOOKUP($H$2,$B$547:$C$549,2,)</f>
        <v>40000</v>
      </c>
      <c r="L10" s="68">
        <f>$I$10*VLOOKUP($H$2,$B$547:$C$549,2,)*100/VLOOKUP($C$2,$B$555:$C$597,2,)</f>
        <v>40000</v>
      </c>
    </row>
    <row r="11" spans="1:14" ht="14.45" customHeight="1" x14ac:dyDescent="0.25">
      <c r="A11" s="9"/>
      <c r="B11" s="9"/>
      <c r="C11" s="9"/>
      <c r="D11" s="9"/>
      <c r="E11" s="9"/>
      <c r="F11" s="9"/>
      <c r="G11" s="9"/>
      <c r="H11" s="47"/>
    </row>
    <row r="12" spans="1:14" ht="14.45" customHeight="1" x14ac:dyDescent="0.25">
      <c r="B12" s="15" t="s">
        <v>27</v>
      </c>
      <c r="C12" s="16"/>
      <c r="D12" s="16"/>
      <c r="E12" s="16"/>
      <c r="F12" s="16"/>
      <c r="G12" s="16"/>
      <c r="H12" s="16"/>
      <c r="I12" s="18"/>
    </row>
    <row r="13" spans="1:14" ht="14.45" customHeight="1" x14ac:dyDescent="0.25">
      <c r="B13" s="19"/>
      <c r="C13" s="20"/>
      <c r="D13" s="20"/>
      <c r="E13" s="20"/>
      <c r="F13" s="20"/>
      <c r="G13" s="20"/>
      <c r="H13" s="29" t="s">
        <v>26</v>
      </c>
      <c r="I13" s="22"/>
    </row>
    <row r="14" spans="1:14" x14ac:dyDescent="0.25">
      <c r="A14" s="44"/>
      <c r="B14" s="36" t="s">
        <v>133</v>
      </c>
      <c r="C14" s="2">
        <v>7</v>
      </c>
      <c r="D14" s="20"/>
      <c r="E14" s="21"/>
      <c r="F14" s="20"/>
      <c r="G14" s="20"/>
      <c r="H14" s="20" t="s">
        <v>25</v>
      </c>
      <c r="I14" s="24">
        <f>(C6+C7)/C14</f>
        <v>5714.2857142857147</v>
      </c>
    </row>
    <row r="15" spans="1:14" ht="17.25" x14ac:dyDescent="0.25">
      <c r="B15" s="36" t="s">
        <v>20</v>
      </c>
      <c r="C15" s="3">
        <v>12</v>
      </c>
      <c r="D15" s="20"/>
      <c r="E15" s="21" t="s">
        <v>21</v>
      </c>
      <c r="F15" s="59">
        <v>0</v>
      </c>
      <c r="G15" s="20"/>
      <c r="H15" s="20" t="s">
        <v>60</v>
      </c>
      <c r="I15" s="24">
        <f>C15*F15*12</f>
        <v>0</v>
      </c>
    </row>
    <row r="16" spans="1:14" x14ac:dyDescent="0.25">
      <c r="B16" s="36" t="s">
        <v>142</v>
      </c>
      <c r="C16" s="4">
        <v>0</v>
      </c>
      <c r="D16" s="20"/>
      <c r="E16" s="21" t="s">
        <v>141</v>
      </c>
      <c r="F16" s="2">
        <v>6081</v>
      </c>
      <c r="G16" s="20"/>
      <c r="H16" s="20" t="s">
        <v>61</v>
      </c>
      <c r="I16" s="24">
        <f>C16*F16*12</f>
        <v>0</v>
      </c>
    </row>
    <row r="17" spans="1:48" x14ac:dyDescent="0.25">
      <c r="B17" s="36"/>
      <c r="C17" s="76"/>
      <c r="D17" s="20"/>
      <c r="E17" s="21" t="s">
        <v>51</v>
      </c>
      <c r="F17" s="2">
        <v>1500</v>
      </c>
      <c r="G17" s="20"/>
      <c r="H17" s="20" t="s">
        <v>62</v>
      </c>
      <c r="I17" s="24">
        <f>F17*12</f>
        <v>18000</v>
      </c>
    </row>
    <row r="18" spans="1:48" x14ac:dyDescent="0.25">
      <c r="B18" s="36"/>
      <c r="C18" s="77"/>
      <c r="D18" s="20"/>
      <c r="E18" s="21" t="s">
        <v>53</v>
      </c>
      <c r="F18" s="2"/>
      <c r="G18" s="20"/>
      <c r="H18" s="20" t="s">
        <v>52</v>
      </c>
      <c r="I18" s="24">
        <f>F18*12</f>
        <v>0</v>
      </c>
    </row>
    <row r="19" spans="1:48" x14ac:dyDescent="0.25">
      <c r="B19" s="75"/>
      <c r="C19" s="73"/>
      <c r="D19" s="42"/>
      <c r="E19" s="91" t="s">
        <v>138</v>
      </c>
      <c r="F19" s="91"/>
      <c r="G19" s="20"/>
      <c r="H19" s="20"/>
      <c r="I19" s="22"/>
    </row>
    <row r="20" spans="1:48" x14ac:dyDescent="0.25">
      <c r="B20" s="74"/>
      <c r="C20" s="20"/>
      <c r="D20" s="20"/>
      <c r="E20" s="91" t="s">
        <v>139</v>
      </c>
      <c r="F20" s="91"/>
      <c r="G20" s="20"/>
      <c r="H20" s="26"/>
      <c r="I20" s="22"/>
      <c r="AV20" s="33"/>
    </row>
    <row r="21" spans="1:48" x14ac:dyDescent="0.25">
      <c r="B21" s="53" t="s">
        <v>143</v>
      </c>
      <c r="C21" s="20"/>
      <c r="D21" s="20"/>
      <c r="E21" s="21"/>
      <c r="F21" s="20"/>
      <c r="G21" s="20"/>
      <c r="H21" s="26"/>
      <c r="I21" s="22"/>
      <c r="AV21" s="33"/>
    </row>
    <row r="22" spans="1:48" ht="45" customHeight="1" x14ac:dyDescent="0.25">
      <c r="A22" s="9"/>
      <c r="B22" s="83"/>
      <c r="C22" s="84"/>
      <c r="D22" s="84"/>
      <c r="E22" s="84"/>
      <c r="F22" s="84"/>
      <c r="G22" s="84"/>
      <c r="H22" s="29"/>
      <c r="I22" s="35"/>
      <c r="K22" s="70" t="s">
        <v>76</v>
      </c>
      <c r="L22" s="71" t="s">
        <v>91</v>
      </c>
    </row>
    <row r="23" spans="1:48" ht="14.45" customHeight="1" x14ac:dyDescent="0.25">
      <c r="A23" s="9"/>
      <c r="B23" s="10"/>
      <c r="C23" s="11"/>
      <c r="D23" s="11"/>
      <c r="E23" s="11"/>
      <c r="F23" s="11"/>
      <c r="G23" s="12"/>
      <c r="H23" s="43" t="s">
        <v>24</v>
      </c>
      <c r="I23" s="58">
        <f>SUM(I14, I15, I16, I17, I18)</f>
        <v>23714.285714285714</v>
      </c>
      <c r="K23" s="68">
        <f>$I$23*VLOOKUP($H$2,$B$547:$C$549,2,)</f>
        <v>23714.285714285714</v>
      </c>
      <c r="L23" s="68">
        <f>$I$23*VLOOKUP($H$2,$B$547:$C$549,2,)*100/VLOOKUP($C$2,$B$555:$C$597,2,)</f>
        <v>23714.285714285714</v>
      </c>
    </row>
    <row r="24" spans="1:48" x14ac:dyDescent="0.25">
      <c r="H24" s="44"/>
      <c r="AV24" s="33"/>
    </row>
    <row r="25" spans="1:48" ht="15.95" customHeight="1" x14ac:dyDescent="0.25">
      <c r="B25" s="15" t="s">
        <v>28</v>
      </c>
      <c r="C25" s="16"/>
      <c r="D25" s="16"/>
      <c r="E25" s="17"/>
      <c r="F25" s="81" t="s">
        <v>131</v>
      </c>
      <c r="G25" s="81" t="s">
        <v>40</v>
      </c>
      <c r="H25" s="16"/>
      <c r="I25" s="18"/>
      <c r="AQ25" s="33"/>
      <c r="AR25" s="33"/>
      <c r="AS25" s="33"/>
      <c r="AT25" s="33"/>
      <c r="AU25" s="33"/>
      <c r="AV25" s="33"/>
    </row>
    <row r="26" spans="1:48" ht="15.95" customHeight="1" x14ac:dyDescent="0.25">
      <c r="B26" s="19" t="s">
        <v>37</v>
      </c>
      <c r="C26" s="20"/>
      <c r="D26" s="29" t="s">
        <v>14</v>
      </c>
      <c r="E26" s="21"/>
      <c r="F26" s="82"/>
      <c r="G26" s="82"/>
      <c r="H26" s="45" t="s">
        <v>32</v>
      </c>
      <c r="I26" s="22"/>
      <c r="AU26" s="33"/>
      <c r="AV26" s="33"/>
    </row>
    <row r="27" spans="1:48" x14ac:dyDescent="0.25">
      <c r="B27" s="5" t="s">
        <v>0</v>
      </c>
      <c r="C27" s="42"/>
      <c r="D27" s="42" t="s">
        <v>44</v>
      </c>
      <c r="E27" s="21"/>
      <c r="F27" s="54"/>
      <c r="G27" s="41">
        <f>F27*C31/60</f>
        <v>0</v>
      </c>
      <c r="H27" s="39"/>
      <c r="I27" s="24">
        <f>G27*C36*C32*12</f>
        <v>0</v>
      </c>
      <c r="AV27" s="33"/>
    </row>
    <row r="28" spans="1:48" ht="15" customHeight="1" x14ac:dyDescent="0.25">
      <c r="B28" s="5" t="s">
        <v>41</v>
      </c>
      <c r="C28" s="42"/>
      <c r="D28" s="42" t="s">
        <v>73</v>
      </c>
      <c r="E28" s="21"/>
      <c r="F28" s="54"/>
      <c r="G28" s="41">
        <f>F28*C31/60</f>
        <v>0</v>
      </c>
      <c r="H28" s="39"/>
      <c r="I28" s="24">
        <f>G28*C36*C32*12</f>
        <v>0</v>
      </c>
    </row>
    <row r="29" spans="1:48" x14ac:dyDescent="0.25">
      <c r="B29" s="5" t="s">
        <v>1</v>
      </c>
      <c r="C29" s="20"/>
      <c r="D29" s="42" t="s">
        <v>45</v>
      </c>
      <c r="E29" s="21"/>
      <c r="F29" s="54"/>
      <c r="G29" s="41">
        <f>F29*C31/60</f>
        <v>0</v>
      </c>
      <c r="H29" s="39"/>
      <c r="I29" s="24">
        <f>G29*C36*C32*12</f>
        <v>0</v>
      </c>
    </row>
    <row r="30" spans="1:48" x14ac:dyDescent="0.25">
      <c r="B30" s="5" t="s">
        <v>15</v>
      </c>
      <c r="C30" s="21"/>
      <c r="D30" s="42" t="s">
        <v>74</v>
      </c>
      <c r="E30" s="21"/>
      <c r="F30" s="54"/>
      <c r="G30" s="41">
        <f>F30*C31/60</f>
        <v>0</v>
      </c>
      <c r="H30" s="39"/>
      <c r="I30" s="24">
        <f>G30*C36*C32*12</f>
        <v>0</v>
      </c>
    </row>
    <row r="31" spans="1:48" x14ac:dyDescent="0.25">
      <c r="B31" s="23" t="s">
        <v>136</v>
      </c>
      <c r="C31" s="7">
        <v>1</v>
      </c>
      <c r="D31" s="42" t="s">
        <v>46</v>
      </c>
      <c r="E31" s="21"/>
      <c r="F31" s="54"/>
      <c r="G31" s="41">
        <f>F31*C31/60</f>
        <v>0</v>
      </c>
      <c r="H31" s="39"/>
      <c r="I31" s="24">
        <f>G31*C36*C32*12</f>
        <v>0</v>
      </c>
    </row>
    <row r="32" spans="1:48" x14ac:dyDescent="0.25">
      <c r="B32" s="23" t="s">
        <v>48</v>
      </c>
      <c r="C32" s="6">
        <v>15</v>
      </c>
      <c r="D32" s="42"/>
      <c r="E32" s="21"/>
      <c r="F32" s="20"/>
      <c r="G32" s="20"/>
      <c r="H32" s="39"/>
      <c r="I32" s="22"/>
    </row>
    <row r="33" spans="1:12" x14ac:dyDescent="0.25">
      <c r="B33" s="23" t="s">
        <v>58</v>
      </c>
      <c r="C33" s="7">
        <v>1</v>
      </c>
      <c r="D33" s="20"/>
      <c r="E33" s="42" t="s">
        <v>47</v>
      </c>
      <c r="F33" s="20"/>
      <c r="G33" s="20"/>
      <c r="H33" s="20"/>
      <c r="I33" s="22"/>
    </row>
    <row r="34" spans="1:12" x14ac:dyDescent="0.25">
      <c r="B34" s="23" t="s">
        <v>23</v>
      </c>
      <c r="C34" s="60">
        <v>6081</v>
      </c>
      <c r="D34" s="21"/>
      <c r="E34" s="21" t="s">
        <v>57</v>
      </c>
      <c r="F34" s="8">
        <v>575</v>
      </c>
      <c r="G34" s="20"/>
      <c r="H34" s="20"/>
      <c r="I34" s="22"/>
    </row>
    <row r="35" spans="1:12" x14ac:dyDescent="0.25">
      <c r="B35" s="23" t="s">
        <v>39</v>
      </c>
      <c r="C35" s="7">
        <v>38</v>
      </c>
      <c r="D35" s="20"/>
      <c r="E35" s="21"/>
      <c r="F35" s="20"/>
      <c r="G35" s="20"/>
      <c r="H35" s="20"/>
      <c r="I35" s="22"/>
    </row>
    <row r="36" spans="1:12" x14ac:dyDescent="0.25">
      <c r="B36" s="36" t="s">
        <v>63</v>
      </c>
      <c r="C36" s="61">
        <f>C33*C34/4.333/C35</f>
        <v>36.931990719933921</v>
      </c>
      <c r="D36" s="20"/>
      <c r="E36" s="21" t="s">
        <v>132</v>
      </c>
      <c r="F36" s="37">
        <f>IF(F34=0,SUM(F27:F31),F34)</f>
        <v>575</v>
      </c>
      <c r="G36" s="38">
        <f>IF(F34=0,F36*C31/60,F34*C31/60)</f>
        <v>9.5833333333333339</v>
      </c>
      <c r="H36" s="20"/>
      <c r="I36" s="22"/>
    </row>
    <row r="37" spans="1:12" x14ac:dyDescent="0.25">
      <c r="B37" s="36"/>
      <c r="C37" s="39"/>
      <c r="D37" s="20"/>
      <c r="E37" s="40"/>
      <c r="F37" s="26"/>
      <c r="G37" s="26"/>
      <c r="H37" s="20"/>
      <c r="I37" s="22"/>
    </row>
    <row r="38" spans="1:12" x14ac:dyDescent="0.25">
      <c r="B38" s="23" t="s">
        <v>134</v>
      </c>
      <c r="C38" s="39"/>
      <c r="D38" s="20"/>
      <c r="E38" s="40"/>
      <c r="F38" s="26"/>
      <c r="G38" s="26"/>
      <c r="H38" s="20"/>
      <c r="I38" s="22"/>
    </row>
    <row r="39" spans="1:12" x14ac:dyDescent="0.25">
      <c r="B39" s="23" t="s">
        <v>135</v>
      </c>
      <c r="C39" s="62"/>
      <c r="D39" s="20"/>
      <c r="E39" s="21"/>
      <c r="F39" s="20"/>
      <c r="G39" s="41"/>
      <c r="H39" s="20" t="s">
        <v>56</v>
      </c>
      <c r="I39" s="24">
        <f>C39*C32*12</f>
        <v>0</v>
      </c>
    </row>
    <row r="40" spans="1:12" ht="14.45" customHeight="1" x14ac:dyDescent="0.25">
      <c r="B40" s="23"/>
      <c r="C40" s="39"/>
      <c r="D40" s="20"/>
      <c r="E40" s="21"/>
      <c r="F40" s="20"/>
      <c r="G40" s="41"/>
      <c r="H40" s="20"/>
      <c r="I40" s="35"/>
    </row>
    <row r="41" spans="1:12" ht="14.45" customHeight="1" x14ac:dyDescent="0.25">
      <c r="B41" s="50" t="s">
        <v>72</v>
      </c>
      <c r="C41" s="51"/>
      <c r="D41" s="51"/>
      <c r="E41" s="51"/>
      <c r="F41" s="51"/>
      <c r="G41" s="52"/>
      <c r="H41" s="20"/>
      <c r="I41" s="35"/>
    </row>
    <row r="42" spans="1:12" ht="45" customHeight="1" x14ac:dyDescent="0.25">
      <c r="A42" s="9"/>
      <c r="B42" s="83" t="s">
        <v>163</v>
      </c>
      <c r="C42" s="84"/>
      <c r="D42" s="84"/>
      <c r="E42" s="84"/>
      <c r="F42" s="84"/>
      <c r="G42" s="84"/>
      <c r="H42" s="29"/>
      <c r="I42" s="35"/>
      <c r="K42" s="70" t="s">
        <v>76</v>
      </c>
      <c r="L42" s="71" t="s">
        <v>91</v>
      </c>
    </row>
    <row r="43" spans="1:12" x14ac:dyDescent="0.25">
      <c r="A43" s="9"/>
      <c r="B43" s="10"/>
      <c r="C43" s="11"/>
      <c r="D43" s="11"/>
      <c r="E43" s="11"/>
      <c r="F43" s="11"/>
      <c r="G43" s="12"/>
      <c r="H43" s="13" t="s">
        <v>55</v>
      </c>
      <c r="I43" s="58">
        <f>IF(F34=0, SUM(I27:I31, I39), (G36*C36*C32*12)+I39)</f>
        <v>63707.683991886013</v>
      </c>
      <c r="K43" s="68">
        <f>$I$43*VLOOKUP($H$2,$B$547:$C$549,2,)</f>
        <v>63707.683991886013</v>
      </c>
      <c r="L43" s="68">
        <f>$I$43*VLOOKUP($H$2,$B$547:$C$549,2,)*100/VLOOKUP($C$2,$B$555:$C$597,2,)</f>
        <v>63707.683991886013</v>
      </c>
    </row>
    <row r="49" spans="2:12" x14ac:dyDescent="0.25">
      <c r="B49" s="15" t="s">
        <v>66</v>
      </c>
      <c r="C49" s="16"/>
      <c r="D49" s="16"/>
      <c r="E49" s="17"/>
      <c r="F49" s="16"/>
      <c r="G49" s="16"/>
      <c r="H49" s="16"/>
      <c r="I49" s="18"/>
    </row>
    <row r="50" spans="2:12" x14ac:dyDescent="0.25">
      <c r="B50" s="19"/>
      <c r="C50" s="20"/>
      <c r="D50" s="20"/>
      <c r="E50" s="21"/>
      <c r="F50" s="20"/>
      <c r="G50" s="20"/>
      <c r="H50" s="20"/>
      <c r="I50" s="22"/>
    </row>
    <row r="51" spans="2:12" x14ac:dyDescent="0.25">
      <c r="B51" s="19" t="s">
        <v>64</v>
      </c>
      <c r="C51" s="24">
        <f>C36+(C16*F16*12/52/C35)</f>
        <v>36.931990719933921</v>
      </c>
      <c r="D51" s="20"/>
      <c r="E51" s="21"/>
      <c r="F51" s="20"/>
      <c r="G51" s="20"/>
      <c r="H51" s="20"/>
      <c r="I51" s="22"/>
    </row>
    <row r="52" spans="2:12" x14ac:dyDescent="0.25">
      <c r="B52" s="19" t="s">
        <v>65</v>
      </c>
      <c r="C52" s="24">
        <f>I23</f>
        <v>23714.285714285714</v>
      </c>
      <c r="D52" s="20"/>
      <c r="E52" s="21"/>
      <c r="F52" s="20"/>
      <c r="G52" s="20"/>
      <c r="H52" s="20"/>
      <c r="I52" s="22"/>
    </row>
    <row r="53" spans="2:12" x14ac:dyDescent="0.25">
      <c r="B53" s="23" t="s">
        <v>67</v>
      </c>
      <c r="C53" s="24">
        <f>G36*C36+C39</f>
        <v>353.93157773270008</v>
      </c>
      <c r="D53" s="20"/>
      <c r="E53" s="20"/>
      <c r="F53" s="20"/>
      <c r="G53" s="20"/>
      <c r="H53" s="20"/>
      <c r="I53" s="22"/>
    </row>
    <row r="54" spans="2:12" x14ac:dyDescent="0.25">
      <c r="B54" s="19"/>
      <c r="C54" s="20"/>
      <c r="D54" s="20"/>
      <c r="E54" s="21"/>
      <c r="F54" s="20"/>
      <c r="G54" s="20"/>
      <c r="H54" s="20"/>
      <c r="I54" s="22"/>
    </row>
    <row r="55" spans="2:12" x14ac:dyDescent="0.25">
      <c r="B55" s="19" t="s">
        <v>68</v>
      </c>
      <c r="C55" s="24">
        <f>C32*12</f>
        <v>180</v>
      </c>
      <c r="D55" s="20"/>
      <c r="E55" s="21"/>
      <c r="F55" s="20"/>
      <c r="G55" s="20"/>
      <c r="H55" s="20"/>
      <c r="I55" s="22"/>
    </row>
    <row r="56" spans="2:12" x14ac:dyDescent="0.25">
      <c r="B56" s="19" t="s">
        <v>69</v>
      </c>
      <c r="C56" s="24">
        <f>C55*C31</f>
        <v>180</v>
      </c>
      <c r="D56" s="20"/>
      <c r="E56" s="21"/>
      <c r="F56" s="20"/>
      <c r="G56" s="20"/>
      <c r="H56" s="20"/>
      <c r="I56" s="22"/>
    </row>
    <row r="57" spans="2:12" x14ac:dyDescent="0.25">
      <c r="B57" s="19"/>
      <c r="C57" s="25"/>
      <c r="D57" s="20"/>
      <c r="E57" s="21"/>
      <c r="F57" s="20"/>
      <c r="G57" s="20"/>
      <c r="H57" s="20"/>
      <c r="I57" s="22"/>
      <c r="K57" s="70" t="s">
        <v>76</v>
      </c>
      <c r="L57" s="71" t="s">
        <v>91</v>
      </c>
    </row>
    <row r="58" spans="2:12" x14ac:dyDescent="0.25">
      <c r="B58" s="19"/>
      <c r="C58" s="20"/>
      <c r="D58" s="20"/>
      <c r="E58" s="21"/>
      <c r="F58" s="20"/>
      <c r="G58" s="20"/>
      <c r="H58" s="26"/>
      <c r="I58" s="27"/>
    </row>
    <row r="59" spans="2:12" x14ac:dyDescent="0.25">
      <c r="B59" s="28" t="s">
        <v>71</v>
      </c>
      <c r="C59" s="58">
        <f>C53+(C52/C55)</f>
        <v>485.67760947873182</v>
      </c>
      <c r="D59" s="20"/>
      <c r="E59" s="21"/>
      <c r="F59" s="20"/>
      <c r="G59" s="20"/>
      <c r="H59" s="29" t="s">
        <v>59</v>
      </c>
      <c r="I59" s="58">
        <f>C53*C55+C52</f>
        <v>87421.969706171731</v>
      </c>
      <c r="K59" s="68">
        <f>$I$59*VLOOKUP($H$2,$B$547:$C$549,2,)</f>
        <v>87421.969706171731</v>
      </c>
      <c r="L59" s="68">
        <f>$I$59*VLOOKUP($H$2,$B$547:$C$549,2,)*100/VLOOKUP($C$2,$B$555:$C$597,2,)</f>
        <v>87421.969706171731</v>
      </c>
    </row>
    <row r="60" spans="2:12" x14ac:dyDescent="0.25">
      <c r="B60" s="30" t="s">
        <v>70</v>
      </c>
      <c r="C60" s="58">
        <f>C59/C31</f>
        <v>485.67760947873182</v>
      </c>
      <c r="D60" s="12"/>
      <c r="E60" s="31"/>
      <c r="F60" s="12"/>
      <c r="G60" s="12"/>
      <c r="H60" s="12"/>
      <c r="I60" s="27"/>
    </row>
    <row r="62" spans="2:12" x14ac:dyDescent="0.25">
      <c r="C62" s="66" t="s">
        <v>76</v>
      </c>
      <c r="D62" s="67" t="s">
        <v>91</v>
      </c>
    </row>
    <row r="63" spans="2:12" x14ac:dyDescent="0.25">
      <c r="B63" s="44" t="s">
        <v>71</v>
      </c>
      <c r="C63" s="68">
        <f>$C$59*VLOOKUP($H$2,$B$547:$C$549,2,)</f>
        <v>485.67760947873182</v>
      </c>
      <c r="D63" s="68">
        <f>$C$59*VLOOKUP($H$2,$B$547:$C$549,2,)*100/VLOOKUP($C$2,$B$555:$C$597,2,)</f>
        <v>485.67760947873182</v>
      </c>
    </row>
    <row r="64" spans="2:12" x14ac:dyDescent="0.25">
      <c r="B64" s="44" t="s">
        <v>70</v>
      </c>
      <c r="C64" s="69">
        <f>$C$60*VLOOKUP($H$2,$B$547:$C$549,2,)</f>
        <v>485.67760947873182</v>
      </c>
      <c r="D64" s="69">
        <f>$C$60*VLOOKUP($H$2,$B$547:$C$549,2,)*100/VLOOKUP($C$2,$B$555:$C$597,2,)</f>
        <v>485.67760947873182</v>
      </c>
    </row>
    <row r="517" spans="2:21" x14ac:dyDescent="0.25">
      <c r="B517" s="14" t="s">
        <v>50</v>
      </c>
    </row>
    <row r="520" spans="2:21" x14ac:dyDescent="0.25">
      <c r="B520" s="14" t="s">
        <v>31</v>
      </c>
      <c r="E520" s="33" t="s">
        <v>33</v>
      </c>
      <c r="H520" s="33" t="s">
        <v>34</v>
      </c>
      <c r="J520" s="33" t="s">
        <v>35</v>
      </c>
      <c r="M520" s="33" t="s">
        <v>36</v>
      </c>
      <c r="P520" s="14" t="s">
        <v>38</v>
      </c>
      <c r="Q520" s="33"/>
      <c r="U520" s="14" t="s">
        <v>49</v>
      </c>
    </row>
    <row r="521" spans="2:21" x14ac:dyDescent="0.25">
      <c r="B521" s="34" t="s">
        <v>137</v>
      </c>
      <c r="E521" s="33" t="s">
        <v>15</v>
      </c>
      <c r="H521" s="33">
        <v>1</v>
      </c>
      <c r="J521" s="33" t="s">
        <v>41</v>
      </c>
      <c r="M521" s="33" t="s">
        <v>1</v>
      </c>
      <c r="P521" s="14">
        <v>0</v>
      </c>
      <c r="U521" s="14" t="s">
        <v>10</v>
      </c>
    </row>
    <row r="522" spans="2:21" x14ac:dyDescent="0.25">
      <c r="B522" s="34" t="s">
        <v>18</v>
      </c>
      <c r="E522" s="33" t="s">
        <v>16</v>
      </c>
      <c r="H522" s="33">
        <v>10</v>
      </c>
      <c r="J522" s="33" t="s">
        <v>42</v>
      </c>
      <c r="M522" s="33" t="s">
        <v>2</v>
      </c>
      <c r="P522" s="14">
        <v>1</v>
      </c>
      <c r="U522" s="14" t="s">
        <v>12</v>
      </c>
    </row>
    <row r="523" spans="2:21" x14ac:dyDescent="0.25">
      <c r="B523" s="34" t="s">
        <v>4</v>
      </c>
      <c r="E523" s="33" t="s">
        <v>17</v>
      </c>
      <c r="H523" s="33">
        <v>50</v>
      </c>
      <c r="J523" s="33" t="s">
        <v>43</v>
      </c>
      <c r="M523" s="33" t="s">
        <v>3</v>
      </c>
      <c r="P523" s="14">
        <v>2</v>
      </c>
      <c r="U523" s="14" t="s">
        <v>80</v>
      </c>
    </row>
    <row r="524" spans="2:21" x14ac:dyDescent="0.25">
      <c r="B524" s="34" t="s">
        <v>5</v>
      </c>
      <c r="E524" s="33" t="s">
        <v>0</v>
      </c>
      <c r="H524" s="33">
        <v>100</v>
      </c>
      <c r="P524" s="14">
        <v>3</v>
      </c>
      <c r="U524" s="14" t="s">
        <v>11</v>
      </c>
    </row>
    <row r="525" spans="2:21" x14ac:dyDescent="0.25">
      <c r="B525" s="34" t="s">
        <v>6</v>
      </c>
      <c r="E525" s="14"/>
      <c r="H525" s="33">
        <v>500</v>
      </c>
      <c r="P525" s="14">
        <v>4</v>
      </c>
      <c r="U525" s="14" t="s">
        <v>82</v>
      </c>
    </row>
    <row r="526" spans="2:21" x14ac:dyDescent="0.25">
      <c r="B526" s="34" t="s">
        <v>9</v>
      </c>
      <c r="E526" s="14"/>
      <c r="H526" s="33">
        <v>1000</v>
      </c>
      <c r="P526" s="14">
        <v>5</v>
      </c>
      <c r="U526" s="14" t="s">
        <v>81</v>
      </c>
    </row>
    <row r="527" spans="2:21" x14ac:dyDescent="0.25">
      <c r="B527" s="34" t="s">
        <v>7</v>
      </c>
      <c r="E527" s="14"/>
      <c r="H527" s="33">
        <v>5000</v>
      </c>
      <c r="P527" s="14">
        <v>6</v>
      </c>
      <c r="U527" s="14" t="s">
        <v>13</v>
      </c>
    </row>
    <row r="528" spans="2:21" x14ac:dyDescent="0.25">
      <c r="B528" s="34" t="s">
        <v>8</v>
      </c>
      <c r="E528" s="14"/>
      <c r="H528" s="33">
        <v>10000</v>
      </c>
      <c r="P528" s="14">
        <v>7</v>
      </c>
    </row>
    <row r="529" spans="2:16" x14ac:dyDescent="0.25">
      <c r="B529" s="34" t="s">
        <v>19</v>
      </c>
      <c r="E529" s="14"/>
      <c r="H529" s="33">
        <v>50000</v>
      </c>
      <c r="P529" s="14">
        <v>8</v>
      </c>
    </row>
    <row r="530" spans="2:16" x14ac:dyDescent="0.25">
      <c r="B530" s="34" t="s">
        <v>0</v>
      </c>
      <c r="E530" s="14"/>
      <c r="H530" s="33">
        <v>100000</v>
      </c>
      <c r="P530" s="14">
        <v>9</v>
      </c>
    </row>
    <row r="531" spans="2:16" x14ac:dyDescent="0.25">
      <c r="E531" s="14"/>
      <c r="H531" s="33"/>
      <c r="P531" s="14">
        <v>10</v>
      </c>
    </row>
    <row r="532" spans="2:16" x14ac:dyDescent="0.25">
      <c r="E532" s="14"/>
    </row>
    <row r="533" spans="2:16" x14ac:dyDescent="0.25">
      <c r="E533" s="14"/>
    </row>
    <row r="539" spans="2:16" x14ac:dyDescent="0.25">
      <c r="B539" s="14" t="s">
        <v>78</v>
      </c>
    </row>
    <row r="541" spans="2:16" x14ac:dyDescent="0.25">
      <c r="B541" s="14" t="s">
        <v>83</v>
      </c>
    </row>
    <row r="542" spans="2:16" x14ac:dyDescent="0.25">
      <c r="B542" s="34" t="s">
        <v>76</v>
      </c>
      <c r="E542" s="34"/>
      <c r="F542" s="34"/>
      <c r="G542" s="34"/>
      <c r="H542" s="34"/>
    </row>
    <row r="543" spans="2:16" x14ac:dyDescent="0.25">
      <c r="B543" s="34" t="s">
        <v>75</v>
      </c>
      <c r="E543" s="34"/>
      <c r="F543" s="34"/>
      <c r="G543" s="34"/>
      <c r="H543" s="34"/>
    </row>
    <row r="544" spans="2:16" x14ac:dyDescent="0.25">
      <c r="B544" s="34" t="s">
        <v>77</v>
      </c>
      <c r="C544" s="34"/>
      <c r="D544" s="34"/>
      <c r="E544" s="34"/>
      <c r="F544" s="34"/>
      <c r="G544" s="34"/>
      <c r="H544" s="34"/>
    </row>
    <row r="545" spans="2:8" x14ac:dyDescent="0.25">
      <c r="C545" s="34"/>
      <c r="D545" s="34"/>
      <c r="E545" s="34"/>
      <c r="F545" s="34"/>
      <c r="G545" s="34"/>
      <c r="H545" s="34"/>
    </row>
    <row r="546" spans="2:8" x14ac:dyDescent="0.25">
      <c r="B546" s="56" t="s">
        <v>90</v>
      </c>
      <c r="C546" s="56" t="s">
        <v>79</v>
      </c>
      <c r="D546" s="56"/>
      <c r="E546" s="34"/>
      <c r="H546" s="34"/>
    </row>
    <row r="547" spans="2:8" x14ac:dyDescent="0.25">
      <c r="B547" s="34" t="s">
        <v>76</v>
      </c>
      <c r="C547" s="78">
        <v>1</v>
      </c>
      <c r="D547" s="34"/>
      <c r="E547" s="34"/>
      <c r="F547" s="34"/>
      <c r="G547" s="34"/>
      <c r="H547" s="34"/>
    </row>
    <row r="548" spans="2:8" x14ac:dyDescent="0.25">
      <c r="B548" s="34" t="s">
        <v>75</v>
      </c>
      <c r="C548" s="78">
        <v>1.1355900000000001</v>
      </c>
      <c r="D548" s="78"/>
      <c r="E548" s="34"/>
      <c r="F548" s="34"/>
      <c r="G548" s="34"/>
      <c r="H548" s="34"/>
    </row>
    <row r="549" spans="2:8" x14ac:dyDescent="0.25">
      <c r="B549" s="34" t="s">
        <v>77</v>
      </c>
      <c r="C549" s="55">
        <v>0.89676</v>
      </c>
    </row>
    <row r="552" spans="2:8" x14ac:dyDescent="0.25">
      <c r="B552" s="56" t="s">
        <v>92</v>
      </c>
      <c r="C552" s="72"/>
    </row>
    <row r="553" spans="2:8" x14ac:dyDescent="0.25">
      <c r="B553" s="79" t="s">
        <v>145</v>
      </c>
    </row>
    <row r="555" spans="2:8" x14ac:dyDescent="0.25">
      <c r="B555" s="64" t="s">
        <v>89</v>
      </c>
      <c r="C555" s="63">
        <v>100</v>
      </c>
    </row>
    <row r="556" spans="2:8" x14ac:dyDescent="0.25">
      <c r="B556" s="14" t="s">
        <v>93</v>
      </c>
      <c r="C556" s="14">
        <v>100</v>
      </c>
    </row>
    <row r="557" spans="2:8" x14ac:dyDescent="0.25">
      <c r="B557" s="14" t="s">
        <v>84</v>
      </c>
      <c r="C557" s="14">
        <v>110.8</v>
      </c>
    </row>
    <row r="558" spans="2:8" x14ac:dyDescent="0.25">
      <c r="B558" s="14" t="s">
        <v>94</v>
      </c>
      <c r="C558" s="14">
        <v>49.6</v>
      </c>
    </row>
    <row r="559" spans="2:8" x14ac:dyDescent="0.25">
      <c r="B559" s="14" t="s">
        <v>95</v>
      </c>
      <c r="C559" s="14">
        <v>68.2</v>
      </c>
    </row>
    <row r="560" spans="2:8" x14ac:dyDescent="0.25">
      <c r="B560" s="14" t="s">
        <v>96</v>
      </c>
      <c r="C560" s="14">
        <v>138.9</v>
      </c>
    </row>
    <row r="561" spans="2:3" x14ac:dyDescent="0.25">
      <c r="B561" s="14" t="s">
        <v>97</v>
      </c>
      <c r="C561" s="14">
        <v>104</v>
      </c>
    </row>
    <row r="562" spans="2:3" x14ac:dyDescent="0.25">
      <c r="B562" s="14" t="s">
        <v>88</v>
      </c>
      <c r="C562" s="14">
        <v>78.099999999999994</v>
      </c>
    </row>
    <row r="563" spans="2:3" x14ac:dyDescent="0.25">
      <c r="B563" s="14" t="s">
        <v>98</v>
      </c>
      <c r="C563" s="14">
        <v>127.2</v>
      </c>
    </row>
    <row r="564" spans="2:3" x14ac:dyDescent="0.25">
      <c r="B564" s="14" t="s">
        <v>99</v>
      </c>
      <c r="C564" s="14">
        <v>85.4</v>
      </c>
    </row>
    <row r="565" spans="2:3" x14ac:dyDescent="0.25">
      <c r="B565" s="14" t="s">
        <v>100</v>
      </c>
      <c r="C565" s="14">
        <v>92.5</v>
      </c>
    </row>
    <row r="566" spans="2:3" x14ac:dyDescent="0.25">
      <c r="B566" s="14" t="s">
        <v>86</v>
      </c>
      <c r="C566" s="14">
        <v>109.5</v>
      </c>
    </row>
    <row r="567" spans="2:3" x14ac:dyDescent="0.25">
      <c r="B567" s="14" t="s">
        <v>101</v>
      </c>
      <c r="C567" s="14">
        <v>67.400000000000006</v>
      </c>
    </row>
    <row r="568" spans="2:3" x14ac:dyDescent="0.25">
      <c r="B568" s="14" t="s">
        <v>102</v>
      </c>
      <c r="C568" s="14">
        <v>100.9</v>
      </c>
    </row>
    <row r="569" spans="2:3" x14ac:dyDescent="0.25">
      <c r="B569" s="14" t="s">
        <v>103</v>
      </c>
      <c r="C569" s="14">
        <v>89.5</v>
      </c>
    </row>
    <row r="570" spans="2:3" x14ac:dyDescent="0.25">
      <c r="B570" s="14" t="s">
        <v>104</v>
      </c>
      <c r="C570" s="14">
        <v>72.8</v>
      </c>
    </row>
    <row r="571" spans="2:3" x14ac:dyDescent="0.25">
      <c r="B571" s="14" t="s">
        <v>105</v>
      </c>
      <c r="C571" s="14">
        <v>64.5</v>
      </c>
    </row>
    <row r="572" spans="2:3" x14ac:dyDescent="0.25">
      <c r="B572" s="14" t="s">
        <v>106</v>
      </c>
      <c r="C572" s="14">
        <v>125.9</v>
      </c>
    </row>
    <row r="573" spans="2:3" x14ac:dyDescent="0.25">
      <c r="B573" s="14" t="s">
        <v>107</v>
      </c>
      <c r="C573" s="14">
        <v>63</v>
      </c>
    </row>
    <row r="574" spans="2:3" x14ac:dyDescent="0.25">
      <c r="B574" s="14" t="s">
        <v>108</v>
      </c>
      <c r="C574" s="14">
        <v>81.7</v>
      </c>
    </row>
    <row r="575" spans="2:3" x14ac:dyDescent="0.25">
      <c r="B575" s="14" t="s">
        <v>87</v>
      </c>
      <c r="C575" s="14">
        <v>112.1</v>
      </c>
    </row>
    <row r="576" spans="2:3" x14ac:dyDescent="0.25">
      <c r="B576" s="14" t="s">
        <v>109</v>
      </c>
      <c r="C576" s="14">
        <v>108.6</v>
      </c>
    </row>
    <row r="577" spans="2:3" x14ac:dyDescent="0.25">
      <c r="B577" s="14" t="s">
        <v>110</v>
      </c>
      <c r="C577" s="14">
        <v>56.7</v>
      </c>
    </row>
    <row r="578" spans="2:3" x14ac:dyDescent="0.25">
      <c r="B578" s="14" t="s">
        <v>111</v>
      </c>
      <c r="C578" s="14">
        <v>86</v>
      </c>
    </row>
    <row r="579" spans="2:3" x14ac:dyDescent="0.25">
      <c r="B579" s="14" t="s">
        <v>112</v>
      </c>
      <c r="C579" s="14">
        <v>52.6</v>
      </c>
    </row>
    <row r="580" spans="2:3" x14ac:dyDescent="0.25">
      <c r="B580" s="14" t="s">
        <v>113</v>
      </c>
      <c r="C580" s="14">
        <v>83.8</v>
      </c>
    </row>
    <row r="581" spans="2:3" x14ac:dyDescent="0.25">
      <c r="B581" s="14" t="s">
        <v>114</v>
      </c>
      <c r="C581" s="14">
        <v>69.8</v>
      </c>
    </row>
    <row r="582" spans="2:3" x14ac:dyDescent="0.25">
      <c r="B582" s="14" t="s">
        <v>85</v>
      </c>
      <c r="C582" s="14">
        <v>122.4</v>
      </c>
    </row>
    <row r="583" spans="2:3" x14ac:dyDescent="0.25">
      <c r="B583" s="14" t="s">
        <v>115</v>
      </c>
      <c r="C583" s="14">
        <v>125.5</v>
      </c>
    </row>
    <row r="584" spans="2:3" x14ac:dyDescent="0.25">
      <c r="B584" s="14" t="s">
        <v>116</v>
      </c>
      <c r="C584" s="14">
        <v>116.4</v>
      </c>
    </row>
    <row r="585" spans="2:3" x14ac:dyDescent="0.25">
      <c r="B585" s="14" t="s">
        <v>117</v>
      </c>
      <c r="C585" s="14">
        <v>166.1</v>
      </c>
    </row>
    <row r="586" spans="2:3" x14ac:dyDescent="0.25">
      <c r="B586" s="14" t="s">
        <v>118</v>
      </c>
      <c r="C586" s="32" t="s">
        <v>119</v>
      </c>
    </row>
    <row r="587" spans="2:3" x14ac:dyDescent="0.25">
      <c r="B587" s="14" t="s">
        <v>120</v>
      </c>
      <c r="C587" s="14">
        <v>149.5</v>
      </c>
    </row>
    <row r="588" spans="2:3" x14ac:dyDescent="0.25">
      <c r="B588" s="14" t="s">
        <v>121</v>
      </c>
      <c r="C588" s="14">
        <v>159.9</v>
      </c>
    </row>
    <row r="589" spans="2:3" x14ac:dyDescent="0.25">
      <c r="B589" s="14" t="s">
        <v>122</v>
      </c>
      <c r="C589" s="14">
        <v>55.6</v>
      </c>
    </row>
    <row r="590" spans="2:3" x14ac:dyDescent="0.25">
      <c r="B590" s="14" t="s">
        <v>123</v>
      </c>
      <c r="C590" s="14">
        <v>47.9</v>
      </c>
    </row>
    <row r="591" spans="2:3" x14ac:dyDescent="0.25">
      <c r="B591" s="14" t="s">
        <v>124</v>
      </c>
      <c r="C591" s="14">
        <v>49.8</v>
      </c>
    </row>
    <row r="592" spans="2:3" x14ac:dyDescent="0.25">
      <c r="B592" s="14" t="s">
        <v>125</v>
      </c>
      <c r="C592" s="14">
        <v>51.9</v>
      </c>
    </row>
    <row r="593" spans="2:3" x14ac:dyDescent="0.25">
      <c r="B593" s="14" t="s">
        <v>126</v>
      </c>
      <c r="C593" s="14">
        <v>52.7</v>
      </c>
    </row>
    <row r="594" spans="2:3" x14ac:dyDescent="0.25">
      <c r="B594" s="14" t="s">
        <v>127</v>
      </c>
      <c r="C594" s="14">
        <v>52</v>
      </c>
    </row>
    <row r="595" spans="2:3" x14ac:dyDescent="0.25">
      <c r="B595" s="14" t="s">
        <v>128</v>
      </c>
      <c r="C595" s="14">
        <v>52.1</v>
      </c>
    </row>
    <row r="596" spans="2:3" x14ac:dyDescent="0.25">
      <c r="B596" s="14" t="s">
        <v>129</v>
      </c>
      <c r="C596" s="14">
        <v>114.4</v>
      </c>
    </row>
    <row r="597" spans="2:3" x14ac:dyDescent="0.25">
      <c r="B597" s="14" t="s">
        <v>130</v>
      </c>
      <c r="C597" s="14">
        <v>110.8</v>
      </c>
    </row>
  </sheetData>
  <sheetProtection password="D792" sheet="1" selectLockedCells="1"/>
  <protectedRanges>
    <protectedRange sqref="B2 D2:F3 H2" name="Headings"/>
  </protectedRanges>
  <mergeCells count="9">
    <mergeCell ref="F25:F26"/>
    <mergeCell ref="G25:G26"/>
    <mergeCell ref="B42:G42"/>
    <mergeCell ref="D2:F2"/>
    <mergeCell ref="D3:F3"/>
    <mergeCell ref="B9:G9"/>
    <mergeCell ref="E19:F19"/>
    <mergeCell ref="E20:F20"/>
    <mergeCell ref="B22:G22"/>
  </mergeCells>
  <conditionalFormatting sqref="C6 F6 I10 I14:I18 F16:F18 I23 C34 I27:I31 I39 I43 C52:C53 C59 I59">
    <cfRule type="expression" dxfId="39" priority="10">
      <formula>$H$2="£ Sterling"</formula>
    </cfRule>
  </conditionalFormatting>
  <conditionalFormatting sqref="C6 F6 I10 I14:I18 F16:F18 I23 C34 I27:I31 I39 I43 C52:C53 C59 I59">
    <cfRule type="expression" dxfId="38" priority="9">
      <formula>$H$2="$ US Dollars"</formula>
    </cfRule>
  </conditionalFormatting>
  <conditionalFormatting sqref="C6 F6 I10 I14:I18 F16:F18 I23 C34 I27:I31 I39 I43 C52:C53 C59 I59">
    <cfRule type="expression" dxfId="37" priority="8">
      <formula>$H$2="€ Euros"</formula>
    </cfRule>
  </conditionalFormatting>
  <conditionalFormatting sqref="F15 C36 C39 C51 C60">
    <cfRule type="expression" dxfId="36" priority="5">
      <formula>$H$2="$ US Dollars"</formula>
    </cfRule>
    <cfRule type="expression" dxfId="35" priority="6">
      <formula>$H$2="£ Sterling"</formula>
    </cfRule>
    <cfRule type="expression" dxfId="34" priority="7">
      <formula>$H$2="€ Euros"</formula>
    </cfRule>
  </conditionalFormatting>
  <conditionalFormatting sqref="L12">
    <cfRule type="expression" dxfId="33" priority="4">
      <formula>$H$2="€ Euros"</formula>
    </cfRule>
  </conditionalFormatting>
  <conditionalFormatting sqref="C7">
    <cfRule type="expression" dxfId="32" priority="3">
      <formula>$H$2="£ Sterling"</formula>
    </cfRule>
  </conditionalFormatting>
  <conditionalFormatting sqref="C7">
    <cfRule type="expression" dxfId="31" priority="2">
      <formula>$H$2="$ US Dollars"</formula>
    </cfRule>
  </conditionalFormatting>
  <conditionalFormatting sqref="C7">
    <cfRule type="expression" dxfId="30" priority="1">
      <formula>$H$2="€ Euros"</formula>
    </cfRule>
  </conditionalFormatting>
  <dataValidations count="21">
    <dataValidation allowBlank="1" showInputMessage="1" showErrorMessage="1" prompt="Include any equipment (capital) upgrade costs during lifetime of facility (but not annual maintenance contracts, licenses, etc.)" sqref="C7" xr:uid="{BDF4279E-FBEA-4043-AB71-DA2F9B52D454}"/>
    <dataValidation allowBlank="1" showInputMessage="1" showErrorMessage="1" prompt="Other costs are costs of procurement, making a room ready e.g., decorating, wiring, etc._x000a_" sqref="F6" xr:uid="{8B72EEEA-CDE1-43DF-AA75-C57F014070F9}"/>
    <dataValidation allowBlank="1" showInputMessage="1" showErrorMessage="1" prompt="Capital equipment costs include digitisation equipment, furniture, computers, etc." sqref="C6" xr:uid="{9FAE4FE6-ED13-49F0-BEEC-CBA032529C77}"/>
    <dataValidation allowBlank="1" showErrorMessage="1" sqref="B19" xr:uid="{E47C33EF-9CC9-4035-BD2A-3AE8CD487633}"/>
    <dataValidation allowBlank="1" showInputMessage="1" showErrorMessage="1" prompt="If applicable, include costs of any upgrade(s) divided over the lifetimeof the digitisation facility e.g., if upgrade cost is €10,000 and lifetime is 5 years, enter €2,000." sqref="C18" xr:uid="{6E1C8FC7-0D7D-4844-B09B-9CF4D9BEDD94}"/>
    <dataValidation type="list" allowBlank="1" showInputMessage="1" showErrorMessage="1" prompt="Choose currency to use from dropdown list_x000a_" sqref="H2:H3" xr:uid="{B96290E4-3490-4C97-A532-BA5869D33162}">
      <formula1>$B$541:$B$544</formula1>
    </dataValidation>
    <dataValidation type="list" allowBlank="1" showInputMessage="1" prompt="Select your institution from the drop-down list, or enter if not listed" sqref="B2:B3" xr:uid="{53D45594-2E73-44D6-99C1-51269FD07422}">
      <formula1>$U$520:$U$527</formula1>
    </dataValidation>
    <dataValidation type="list" allowBlank="1" showInputMessage="1" showErrorMessage="1" prompt="Choose specimen category" sqref="B27" xr:uid="{47338CA8-DDC9-4AE6-AC37-0BB3A73E0DA7}">
      <formula1>$B$520:$B$530</formula1>
    </dataValidation>
    <dataValidation type="list" errorStyle="information" allowBlank="1" showInputMessage="1" prompt="Choose typical batch size (or enter own value)" sqref="C31" xr:uid="{55AFE2E9-2048-46FE-B67F-3C6632C6F840}">
      <formula1>$H$520:$H$530</formula1>
    </dataValidation>
    <dataValidation type="list" allowBlank="1" showInputMessage="1" showErrorMessage="1" prompt="Choose unit of digitisation" sqref="B30" xr:uid="{AA618D7F-3856-434E-B4C7-B82165456B5F}">
      <formula1>$E$520:$E$524</formula1>
    </dataValidation>
    <dataValidation type="list" allowBlank="1" showInputMessage="1" showErrorMessage="1" prompt="Select number of staff needed for digitisation (additional to number of fixed staff, above)" sqref="C33" xr:uid="{BB8B3F89-9CA5-4F5E-AD25-73AA325D013C}">
      <formula1>$P$520:$P$532</formula1>
    </dataValidation>
    <dataValidation type="list" allowBlank="1" showInputMessage="1" showErrorMessage="1" prompt="Choose type of process" sqref="B29" xr:uid="{12D63122-BB89-4305-B8F5-2CB463E27AD6}">
      <formula1>$M$520:$M$523</formula1>
    </dataValidation>
    <dataValidation type="list" allowBlank="1" showInputMessage="1" showErrorMessage="1" prompt="Choose type of workflow" sqref="B28" xr:uid="{F73BB244-1954-4714-8CFF-CCDFFC22A405}">
      <formula1>$J$520:$J$523</formula1>
    </dataValidation>
    <dataValidation allowBlank="1" showInputMessage="1" showErrorMessage="1" prompt="This cell not currently used" sqref="C17" xr:uid="{DF45EE0B-F42C-4000-82F6-622466D59809}"/>
    <dataValidation allowBlank="1" showInputMessage="1" showErrorMessage="1" prompt="Enter in minutes. Add up for all persons involved. See Instructions sheet for explanation of the tasks_x000a_" sqref="F27:F31" xr:uid="{94AA7013-F6E3-4988-B59D-6F308286691D}"/>
    <dataValidation allowBlank="1" showInputMessage="1" showErrorMessage="1" prompt="Only enter a value here if you do not know the split across the above 5 task clusters" sqref="F34" xr:uid="{7714895D-3B8F-4D5F-8F51-81EDA623D0EF}"/>
    <dataValidation allowBlank="1" showInputMessage="1" showErrorMessage="1" prompt="Number of hours in working week (change if necessary)" sqref="C35" xr:uid="{846A4066-6376-4853-B71A-BF43DD52D459}"/>
    <dataValidation allowBlank="1" showInputMessage="1" showErrorMessage="1" prompt="Enter monthly average gross salary for number of staff selected above" sqref="C34" xr:uid="{90240AEE-72D2-480F-AD99-FF24E5D7784E}"/>
    <dataValidation allowBlank="1" showInputMessage="1" showErrorMessage="1" prompt="Enter room area of your digitisation facility" sqref="C15" xr:uid="{0F795648-5042-4EE7-B2E5-81F69D35384D}"/>
    <dataValidation type="decimal" allowBlank="1" showInputMessage="1" showErrorMessage="1" prompt="Enter depreciation period in years (straight line depreciation will be used)" sqref="C14" xr:uid="{A605E065-70BE-4D85-BCC6-A894FD13E153}">
      <formula1>1</formula1>
      <formula2>7</formula2>
    </dataValidation>
    <dataValidation type="decimal" showInputMessage="1" showErrorMessage="1" prompt="Enter value between 0 and 20 for number of fixed staff supporting the facility i.e., even if no digitisation is occurring. Part FTE allowed." sqref="C16" xr:uid="{ADA79449-C31D-47CC-A7D9-844A791A8085}">
      <formula1>0</formula1>
      <formula2>20</formula2>
    </dataValidation>
  </dataValidations>
  <hyperlinks>
    <hyperlink ref="B553" r:id="rId1" xr:uid="{8FABA3D4-B8FB-4CE0-A9EC-1800EFB76AB3}"/>
  </hyperlinks>
  <pageMargins left="0.7" right="0.7" top="0.75" bottom="0.75" header="0.3" footer="0.3"/>
  <pageSetup paperSize="9" orientation="portrait" horizontalDpi="4294967293"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6A866-1525-4BF1-9682-F5948F32F9E9}">
  <dimension ref="A2:AV597"/>
  <sheetViews>
    <sheetView workbookViewId="0">
      <selection activeCell="B42" sqref="B42:G42"/>
    </sheetView>
  </sheetViews>
  <sheetFormatPr defaultColWidth="8.7109375" defaultRowHeight="15" x14ac:dyDescent="0.25"/>
  <cols>
    <col min="1" max="1" width="1.5703125" style="14" customWidth="1"/>
    <col min="2" max="2" width="55.5703125" style="14" bestFit="1" customWidth="1"/>
    <col min="3" max="3" width="10.28515625" style="14" bestFit="1" customWidth="1"/>
    <col min="4" max="4" width="8.7109375" style="14"/>
    <col min="5" max="5" width="29.85546875" style="32" customWidth="1"/>
    <col min="6" max="6" width="10.28515625" style="14" bestFit="1" customWidth="1"/>
    <col min="7" max="7" width="8.7109375" style="14"/>
    <col min="8" max="8" width="24.85546875" style="14" bestFit="1" customWidth="1"/>
    <col min="9" max="9" width="11.42578125" style="14" bestFit="1" customWidth="1"/>
    <col min="10" max="10" width="1.140625" style="14" customWidth="1"/>
    <col min="11" max="16384" width="8.7109375" style="14"/>
  </cols>
  <sheetData>
    <row r="2" spans="1:14" ht="42.6" customHeight="1" x14ac:dyDescent="0.25">
      <c r="B2" s="1" t="s">
        <v>146</v>
      </c>
      <c r="C2" s="57" t="str">
        <f>_xlfn.SWITCH($B$2, "APM","Belgium","LUOMUS","Finland","MNHN","France","Naturalis","Netherlands","NHMUK","UK","RBGK","UK","UTARTU","Estonia","- -")</f>
        <v>- -</v>
      </c>
      <c r="D2" s="85" t="s">
        <v>147</v>
      </c>
      <c r="E2" s="86"/>
      <c r="F2" s="87"/>
      <c r="H2" s="80" t="s">
        <v>76</v>
      </c>
    </row>
    <row r="3" spans="1:14" ht="42.6" customHeight="1" x14ac:dyDescent="0.25">
      <c r="C3" s="57"/>
      <c r="D3" s="88"/>
      <c r="E3" s="89"/>
      <c r="F3" s="90"/>
    </row>
    <row r="5" spans="1:14" x14ac:dyDescent="0.25">
      <c r="A5" s="9"/>
      <c r="B5" s="15" t="s">
        <v>30</v>
      </c>
      <c r="C5" s="16"/>
      <c r="D5" s="16"/>
      <c r="E5" s="17"/>
      <c r="F5" s="16"/>
      <c r="G5" s="16"/>
      <c r="H5" s="16"/>
      <c r="I5" s="18"/>
    </row>
    <row r="6" spans="1:14" ht="14.45" customHeight="1" x14ac:dyDescent="0.25">
      <c r="A6" s="48"/>
      <c r="B6" s="36" t="s">
        <v>22</v>
      </c>
      <c r="C6" s="2">
        <v>3000</v>
      </c>
      <c r="D6" s="20"/>
      <c r="E6" s="49" t="s">
        <v>54</v>
      </c>
      <c r="F6" s="2"/>
      <c r="G6" s="20"/>
      <c r="H6" s="20"/>
      <c r="I6" s="22"/>
    </row>
    <row r="7" spans="1:14" ht="14.45" customHeight="1" x14ac:dyDescent="0.25">
      <c r="A7" s="9"/>
      <c r="B7" s="36" t="s">
        <v>140</v>
      </c>
      <c r="C7" s="2"/>
      <c r="D7" s="20"/>
      <c r="E7" s="20"/>
      <c r="F7" s="20"/>
      <c r="G7" s="20"/>
      <c r="H7" s="20"/>
      <c r="I7" s="22"/>
    </row>
    <row r="8" spans="1:14" ht="14.45" customHeight="1" x14ac:dyDescent="0.25">
      <c r="A8" s="9"/>
      <c r="B8" s="53" t="s">
        <v>144</v>
      </c>
      <c r="C8" s="20"/>
      <c r="D8" s="20"/>
      <c r="E8" s="20"/>
      <c r="F8" s="20"/>
      <c r="G8" s="20"/>
      <c r="H8" s="20"/>
      <c r="I8" s="22"/>
    </row>
    <row r="9" spans="1:14" ht="45" customHeight="1" x14ac:dyDescent="0.25">
      <c r="A9" s="9"/>
      <c r="B9" s="83" t="s">
        <v>164</v>
      </c>
      <c r="C9" s="84"/>
      <c r="D9" s="84"/>
      <c r="E9" s="84"/>
      <c r="F9" s="84"/>
      <c r="G9" s="84"/>
      <c r="H9" s="29"/>
      <c r="I9" s="35"/>
      <c r="K9" s="70" t="s">
        <v>76</v>
      </c>
      <c r="L9" s="71" t="s">
        <v>91</v>
      </c>
      <c r="M9" s="65"/>
      <c r="N9" s="65"/>
    </row>
    <row r="10" spans="1:14" ht="14.45" customHeight="1" x14ac:dyDescent="0.25">
      <c r="A10" s="9"/>
      <c r="B10" s="10"/>
      <c r="C10" s="11"/>
      <c r="D10" s="11"/>
      <c r="E10" s="11"/>
      <c r="F10" s="11"/>
      <c r="G10" s="12"/>
      <c r="H10" s="46" t="s">
        <v>29</v>
      </c>
      <c r="I10" s="58">
        <f>C6+F6</f>
        <v>3000</v>
      </c>
      <c r="K10" s="68">
        <f>$I$10*VLOOKUP($H$2,$B$547:$C$549,2,)</f>
        <v>3000</v>
      </c>
      <c r="L10" s="68">
        <f>$I$10*VLOOKUP($H$2,$B$547:$C$549,2,)*100/VLOOKUP($C$2,$B$555:$C$597,2,)</f>
        <v>3000</v>
      </c>
    </row>
    <row r="11" spans="1:14" ht="14.45" customHeight="1" x14ac:dyDescent="0.25">
      <c r="A11" s="9"/>
      <c r="B11" s="9"/>
      <c r="C11" s="9"/>
      <c r="D11" s="9"/>
      <c r="E11" s="9"/>
      <c r="F11" s="9"/>
      <c r="G11" s="9"/>
      <c r="H11" s="47"/>
    </row>
    <row r="12" spans="1:14" ht="14.45" customHeight="1" x14ac:dyDescent="0.25">
      <c r="B12" s="15" t="s">
        <v>27</v>
      </c>
      <c r="C12" s="16"/>
      <c r="D12" s="16"/>
      <c r="E12" s="16"/>
      <c r="F12" s="16"/>
      <c r="G12" s="16"/>
      <c r="H12" s="16"/>
      <c r="I12" s="18"/>
    </row>
    <row r="13" spans="1:14" ht="14.45" customHeight="1" x14ac:dyDescent="0.25">
      <c r="B13" s="19"/>
      <c r="C13" s="20"/>
      <c r="D13" s="20"/>
      <c r="E13" s="20"/>
      <c r="F13" s="20"/>
      <c r="G13" s="20"/>
      <c r="H13" s="29" t="s">
        <v>26</v>
      </c>
      <c r="I13" s="22"/>
    </row>
    <row r="14" spans="1:14" x14ac:dyDescent="0.25">
      <c r="A14" s="44"/>
      <c r="B14" s="36" t="s">
        <v>133</v>
      </c>
      <c r="C14" s="2">
        <v>4</v>
      </c>
      <c r="D14" s="20"/>
      <c r="E14" s="21"/>
      <c r="F14" s="20"/>
      <c r="G14" s="20"/>
      <c r="H14" s="20" t="s">
        <v>25</v>
      </c>
      <c r="I14" s="24">
        <f>(C6+C7)/C14</f>
        <v>750</v>
      </c>
    </row>
    <row r="15" spans="1:14" ht="17.25" x14ac:dyDescent="0.25">
      <c r="B15" s="36" t="s">
        <v>20</v>
      </c>
      <c r="C15" s="3">
        <v>12</v>
      </c>
      <c r="D15" s="20"/>
      <c r="E15" s="21" t="s">
        <v>21</v>
      </c>
      <c r="F15" s="59">
        <v>0</v>
      </c>
      <c r="G15" s="20"/>
      <c r="H15" s="20" t="s">
        <v>60</v>
      </c>
      <c r="I15" s="24">
        <f>C15*F15*12</f>
        <v>0</v>
      </c>
    </row>
    <row r="16" spans="1:14" x14ac:dyDescent="0.25">
      <c r="B16" s="36" t="s">
        <v>142</v>
      </c>
      <c r="C16" s="4">
        <v>0</v>
      </c>
      <c r="D16" s="20"/>
      <c r="E16" s="21" t="s">
        <v>141</v>
      </c>
      <c r="F16" s="2">
        <v>4635</v>
      </c>
      <c r="G16" s="20"/>
      <c r="H16" s="20" t="s">
        <v>61</v>
      </c>
      <c r="I16" s="24">
        <f>C16*F16*12</f>
        <v>0</v>
      </c>
    </row>
    <row r="17" spans="1:48" x14ac:dyDescent="0.25">
      <c r="B17" s="36"/>
      <c r="C17" s="76"/>
      <c r="D17" s="20"/>
      <c r="E17" s="21" t="s">
        <v>51</v>
      </c>
      <c r="F17" s="2">
        <v>1150</v>
      </c>
      <c r="G17" s="20"/>
      <c r="H17" s="20" t="s">
        <v>62</v>
      </c>
      <c r="I17" s="24">
        <f>F17*12</f>
        <v>13800</v>
      </c>
    </row>
    <row r="18" spans="1:48" x14ac:dyDescent="0.25">
      <c r="B18" s="36"/>
      <c r="C18" s="77"/>
      <c r="D18" s="20"/>
      <c r="E18" s="21" t="s">
        <v>53</v>
      </c>
      <c r="F18" s="2"/>
      <c r="G18" s="20"/>
      <c r="H18" s="20" t="s">
        <v>52</v>
      </c>
      <c r="I18" s="24">
        <f>F18*12</f>
        <v>0</v>
      </c>
    </row>
    <row r="19" spans="1:48" x14ac:dyDescent="0.25">
      <c r="B19" s="75"/>
      <c r="C19" s="73"/>
      <c r="D19" s="42"/>
      <c r="E19" s="91" t="s">
        <v>138</v>
      </c>
      <c r="F19" s="91"/>
      <c r="G19" s="20"/>
      <c r="H19" s="20"/>
      <c r="I19" s="22"/>
    </row>
    <row r="20" spans="1:48" x14ac:dyDescent="0.25">
      <c r="B20" s="74"/>
      <c r="C20" s="20"/>
      <c r="D20" s="20"/>
      <c r="E20" s="91" t="s">
        <v>139</v>
      </c>
      <c r="F20" s="91"/>
      <c r="G20" s="20"/>
      <c r="H20" s="26"/>
      <c r="I20" s="22"/>
      <c r="AV20" s="33"/>
    </row>
    <row r="21" spans="1:48" x14ac:dyDescent="0.25">
      <c r="B21" s="53" t="s">
        <v>143</v>
      </c>
      <c r="C21" s="20"/>
      <c r="D21" s="20"/>
      <c r="E21" s="21"/>
      <c r="F21" s="20"/>
      <c r="G21" s="20"/>
      <c r="H21" s="26"/>
      <c r="I21" s="22"/>
      <c r="AV21" s="33"/>
    </row>
    <row r="22" spans="1:48" ht="45" customHeight="1" x14ac:dyDescent="0.25">
      <c r="A22" s="9"/>
      <c r="B22" s="83"/>
      <c r="C22" s="84"/>
      <c r="D22" s="84"/>
      <c r="E22" s="84"/>
      <c r="F22" s="84"/>
      <c r="G22" s="84"/>
      <c r="H22" s="29"/>
      <c r="I22" s="35"/>
      <c r="K22" s="70" t="s">
        <v>76</v>
      </c>
      <c r="L22" s="71" t="s">
        <v>91</v>
      </c>
    </row>
    <row r="23" spans="1:48" ht="14.45" customHeight="1" x14ac:dyDescent="0.25">
      <c r="A23" s="9"/>
      <c r="B23" s="10"/>
      <c r="C23" s="11"/>
      <c r="D23" s="11"/>
      <c r="E23" s="11"/>
      <c r="F23" s="11"/>
      <c r="G23" s="12"/>
      <c r="H23" s="43" t="s">
        <v>24</v>
      </c>
      <c r="I23" s="58">
        <f>SUM(I14, I15, I16, I17, I18)</f>
        <v>14550</v>
      </c>
      <c r="K23" s="68">
        <f>$I$23*VLOOKUP($H$2,$B$547:$C$549,2,)</f>
        <v>14550</v>
      </c>
      <c r="L23" s="68">
        <f>$I$23*VLOOKUP($H$2,$B$547:$C$549,2,)*100/VLOOKUP($C$2,$B$555:$C$597,2,)</f>
        <v>14550</v>
      </c>
    </row>
    <row r="24" spans="1:48" x14ac:dyDescent="0.25">
      <c r="H24" s="44"/>
      <c r="AV24" s="33"/>
    </row>
    <row r="25" spans="1:48" ht="15.95" customHeight="1" x14ac:dyDescent="0.25">
      <c r="B25" s="15" t="s">
        <v>28</v>
      </c>
      <c r="C25" s="16"/>
      <c r="D25" s="16"/>
      <c r="E25" s="17"/>
      <c r="F25" s="81" t="s">
        <v>131</v>
      </c>
      <c r="G25" s="81" t="s">
        <v>40</v>
      </c>
      <c r="H25" s="16"/>
      <c r="I25" s="18"/>
      <c r="AQ25" s="33"/>
      <c r="AR25" s="33"/>
      <c r="AS25" s="33"/>
      <c r="AT25" s="33"/>
      <c r="AU25" s="33"/>
      <c r="AV25" s="33"/>
    </row>
    <row r="26" spans="1:48" ht="15.95" customHeight="1" x14ac:dyDescent="0.25">
      <c r="B26" s="19" t="s">
        <v>37</v>
      </c>
      <c r="C26" s="20"/>
      <c r="D26" s="29" t="s">
        <v>14</v>
      </c>
      <c r="E26" s="21"/>
      <c r="F26" s="82"/>
      <c r="G26" s="82"/>
      <c r="H26" s="45" t="s">
        <v>32</v>
      </c>
      <c r="I26" s="22"/>
      <c r="AU26" s="33"/>
      <c r="AV26" s="33"/>
    </row>
    <row r="27" spans="1:48" x14ac:dyDescent="0.25">
      <c r="B27" s="5" t="s">
        <v>0</v>
      </c>
      <c r="C27" s="42"/>
      <c r="D27" s="42" t="s">
        <v>44</v>
      </c>
      <c r="E27" s="21"/>
      <c r="F27" s="54"/>
      <c r="G27" s="41">
        <f>F27*C31/60</f>
        <v>0</v>
      </c>
      <c r="H27" s="39"/>
      <c r="I27" s="24">
        <f>G27*C36*C32*12</f>
        <v>0</v>
      </c>
      <c r="AV27" s="33"/>
    </row>
    <row r="28" spans="1:48" ht="15" customHeight="1" x14ac:dyDescent="0.25">
      <c r="B28" s="5" t="s">
        <v>41</v>
      </c>
      <c r="C28" s="42"/>
      <c r="D28" s="42" t="s">
        <v>73</v>
      </c>
      <c r="E28" s="21"/>
      <c r="F28" s="54"/>
      <c r="G28" s="41">
        <f>F28*C31/60</f>
        <v>0</v>
      </c>
      <c r="H28" s="39"/>
      <c r="I28" s="24">
        <f>G28*C36*C32*12</f>
        <v>0</v>
      </c>
    </row>
    <row r="29" spans="1:48" x14ac:dyDescent="0.25">
      <c r="B29" s="5" t="s">
        <v>1</v>
      </c>
      <c r="C29" s="20"/>
      <c r="D29" s="42" t="s">
        <v>45</v>
      </c>
      <c r="E29" s="21"/>
      <c r="F29" s="54"/>
      <c r="G29" s="41">
        <f>F29*C31/60</f>
        <v>0</v>
      </c>
      <c r="H29" s="39"/>
      <c r="I29" s="24">
        <f>G29*C36*C32*12</f>
        <v>0</v>
      </c>
    </row>
    <row r="30" spans="1:48" x14ac:dyDescent="0.25">
      <c r="B30" s="5" t="s">
        <v>17</v>
      </c>
      <c r="C30" s="21"/>
      <c r="D30" s="42" t="s">
        <v>74</v>
      </c>
      <c r="E30" s="21"/>
      <c r="F30" s="54"/>
      <c r="G30" s="41">
        <f>F30*C31/60</f>
        <v>0</v>
      </c>
      <c r="H30" s="39"/>
      <c r="I30" s="24">
        <f>G30*C36*C32*12</f>
        <v>0</v>
      </c>
    </row>
    <row r="31" spans="1:48" x14ac:dyDescent="0.25">
      <c r="B31" s="23" t="s">
        <v>136</v>
      </c>
      <c r="C31" s="7">
        <v>1</v>
      </c>
      <c r="D31" s="42" t="s">
        <v>46</v>
      </c>
      <c r="E31" s="21"/>
      <c r="F31" s="54"/>
      <c r="G31" s="41">
        <f>F31*C31/60</f>
        <v>0</v>
      </c>
      <c r="H31" s="39"/>
      <c r="I31" s="24">
        <f>G31*C36*C32*12</f>
        <v>0</v>
      </c>
    </row>
    <row r="32" spans="1:48" x14ac:dyDescent="0.25">
      <c r="B32" s="23" t="s">
        <v>48</v>
      </c>
      <c r="C32" s="6">
        <v>900</v>
      </c>
      <c r="D32" s="42"/>
      <c r="E32" s="21"/>
      <c r="F32" s="20"/>
      <c r="G32" s="20"/>
      <c r="H32" s="39"/>
      <c r="I32" s="22"/>
    </row>
    <row r="33" spans="1:12" x14ac:dyDescent="0.25">
      <c r="B33" s="23" t="s">
        <v>58</v>
      </c>
      <c r="C33" s="7">
        <v>1</v>
      </c>
      <c r="D33" s="20"/>
      <c r="E33" s="42" t="s">
        <v>47</v>
      </c>
      <c r="F33" s="20"/>
      <c r="G33" s="20"/>
      <c r="H33" s="20"/>
      <c r="I33" s="22"/>
    </row>
    <row r="34" spans="1:12" x14ac:dyDescent="0.25">
      <c r="B34" s="23" t="s">
        <v>23</v>
      </c>
      <c r="C34" s="60">
        <v>4635</v>
      </c>
      <c r="D34" s="21"/>
      <c r="E34" s="21" t="s">
        <v>57</v>
      </c>
      <c r="F34" s="8">
        <v>10</v>
      </c>
      <c r="G34" s="20"/>
      <c r="H34" s="20"/>
      <c r="I34" s="22"/>
    </row>
    <row r="35" spans="1:12" x14ac:dyDescent="0.25">
      <c r="B35" s="23" t="s">
        <v>39</v>
      </c>
      <c r="C35" s="7">
        <v>38</v>
      </c>
      <c r="D35" s="20"/>
      <c r="E35" s="21"/>
      <c r="F35" s="20"/>
      <c r="G35" s="20"/>
      <c r="H35" s="20"/>
      <c r="I35" s="22"/>
    </row>
    <row r="36" spans="1:12" x14ac:dyDescent="0.25">
      <c r="B36" s="36" t="s">
        <v>63</v>
      </c>
      <c r="C36" s="61">
        <f>C33*C34/4.333/C35</f>
        <v>28.149938659249091</v>
      </c>
      <c r="D36" s="20"/>
      <c r="E36" s="21" t="s">
        <v>132</v>
      </c>
      <c r="F36" s="37">
        <f>IF(F34=0,SUM(F27:F31),F34)</f>
        <v>10</v>
      </c>
      <c r="G36" s="38">
        <f>IF(F34=0,F36*C31/60,F34*C31/60)</f>
        <v>0.16666666666666666</v>
      </c>
      <c r="H36" s="20"/>
      <c r="I36" s="22"/>
    </row>
    <row r="37" spans="1:12" x14ac:dyDescent="0.25">
      <c r="B37" s="36"/>
      <c r="C37" s="39"/>
      <c r="D37" s="20"/>
      <c r="E37" s="40"/>
      <c r="F37" s="26"/>
      <c r="G37" s="26"/>
      <c r="H37" s="20"/>
      <c r="I37" s="22"/>
    </row>
    <row r="38" spans="1:12" x14ac:dyDescent="0.25">
      <c r="B38" s="23" t="s">
        <v>134</v>
      </c>
      <c r="C38" s="39"/>
      <c r="D38" s="20"/>
      <c r="E38" s="40"/>
      <c r="F38" s="26"/>
      <c r="G38" s="26"/>
      <c r="H38" s="20"/>
      <c r="I38" s="22"/>
    </row>
    <row r="39" spans="1:12" x14ac:dyDescent="0.25">
      <c r="B39" s="23" t="s">
        <v>135</v>
      </c>
      <c r="C39" s="62"/>
      <c r="D39" s="20"/>
      <c r="E39" s="21"/>
      <c r="F39" s="20"/>
      <c r="G39" s="41"/>
      <c r="H39" s="20" t="s">
        <v>56</v>
      </c>
      <c r="I39" s="24">
        <f>C39*C32*12</f>
        <v>0</v>
      </c>
    </row>
    <row r="40" spans="1:12" ht="14.45" customHeight="1" x14ac:dyDescent="0.25">
      <c r="B40" s="23"/>
      <c r="C40" s="39"/>
      <c r="D40" s="20"/>
      <c r="E40" s="21"/>
      <c r="F40" s="20"/>
      <c r="G40" s="41"/>
      <c r="H40" s="20"/>
      <c r="I40" s="35"/>
    </row>
    <row r="41" spans="1:12" ht="14.45" customHeight="1" x14ac:dyDescent="0.25">
      <c r="B41" s="50" t="s">
        <v>72</v>
      </c>
      <c r="C41" s="51"/>
      <c r="D41" s="51"/>
      <c r="E41" s="51"/>
      <c r="F41" s="51"/>
      <c r="G41" s="52"/>
      <c r="H41" s="20"/>
      <c r="I41" s="35"/>
    </row>
    <row r="42" spans="1:12" ht="45" customHeight="1" x14ac:dyDescent="0.25">
      <c r="A42" s="9"/>
      <c r="B42" s="83" t="s">
        <v>165</v>
      </c>
      <c r="C42" s="84"/>
      <c r="D42" s="84"/>
      <c r="E42" s="84"/>
      <c r="F42" s="84"/>
      <c r="G42" s="84"/>
      <c r="H42" s="29"/>
      <c r="I42" s="35"/>
      <c r="K42" s="70" t="s">
        <v>76</v>
      </c>
      <c r="L42" s="71" t="s">
        <v>91</v>
      </c>
    </row>
    <row r="43" spans="1:12" x14ac:dyDescent="0.25">
      <c r="A43" s="9"/>
      <c r="B43" s="10"/>
      <c r="C43" s="11"/>
      <c r="D43" s="11"/>
      <c r="E43" s="11"/>
      <c r="F43" s="11"/>
      <c r="G43" s="12"/>
      <c r="H43" s="13" t="s">
        <v>55</v>
      </c>
      <c r="I43" s="58">
        <f>IF(F34=0, SUM(I27:I31, I39), (G36*C36*C32*12)+I39)</f>
        <v>50669.889586648351</v>
      </c>
      <c r="K43" s="68">
        <f>$I$43*VLOOKUP($H$2,$B$547:$C$549,2,)</f>
        <v>50669.889586648351</v>
      </c>
      <c r="L43" s="68">
        <f>$I$43*VLOOKUP($H$2,$B$547:$C$549,2,)*100/VLOOKUP($C$2,$B$555:$C$597,2,)</f>
        <v>50669.889586648351</v>
      </c>
    </row>
    <row r="49" spans="2:12" x14ac:dyDescent="0.25">
      <c r="B49" s="15" t="s">
        <v>66</v>
      </c>
      <c r="C49" s="16"/>
      <c r="D49" s="16"/>
      <c r="E49" s="17"/>
      <c r="F49" s="16"/>
      <c r="G49" s="16"/>
      <c r="H49" s="16"/>
      <c r="I49" s="18"/>
    </row>
    <row r="50" spans="2:12" x14ac:dyDescent="0.25">
      <c r="B50" s="19"/>
      <c r="C50" s="20"/>
      <c r="D50" s="20"/>
      <c r="E50" s="21"/>
      <c r="F50" s="20"/>
      <c r="G50" s="20"/>
      <c r="H50" s="20"/>
      <c r="I50" s="22"/>
    </row>
    <row r="51" spans="2:12" x14ac:dyDescent="0.25">
      <c r="B51" s="19" t="s">
        <v>64</v>
      </c>
      <c r="C51" s="24">
        <f>C36+(C16*F16*12/52/C35)</f>
        <v>28.149938659249091</v>
      </c>
      <c r="D51" s="20"/>
      <c r="E51" s="21"/>
      <c r="F51" s="20"/>
      <c r="G51" s="20"/>
      <c r="H51" s="20"/>
      <c r="I51" s="22"/>
    </row>
    <row r="52" spans="2:12" x14ac:dyDescent="0.25">
      <c r="B52" s="19" t="s">
        <v>65</v>
      </c>
      <c r="C52" s="24">
        <f>I23</f>
        <v>14550</v>
      </c>
      <c r="D52" s="20"/>
      <c r="E52" s="21"/>
      <c r="F52" s="20"/>
      <c r="G52" s="20"/>
      <c r="H52" s="20"/>
      <c r="I52" s="22"/>
    </row>
    <row r="53" spans="2:12" x14ac:dyDescent="0.25">
      <c r="B53" s="23" t="s">
        <v>67</v>
      </c>
      <c r="C53" s="24">
        <f>G36*C36+C39</f>
        <v>4.6916564432081813</v>
      </c>
      <c r="D53" s="20"/>
      <c r="E53" s="20"/>
      <c r="F53" s="20"/>
      <c r="G53" s="20"/>
      <c r="H53" s="20"/>
      <c r="I53" s="22"/>
    </row>
    <row r="54" spans="2:12" x14ac:dyDescent="0.25">
      <c r="B54" s="19"/>
      <c r="C54" s="20"/>
      <c r="D54" s="20"/>
      <c r="E54" s="21"/>
      <c r="F54" s="20"/>
      <c r="G54" s="20"/>
      <c r="H54" s="20"/>
      <c r="I54" s="22"/>
    </row>
    <row r="55" spans="2:12" x14ac:dyDescent="0.25">
      <c r="B55" s="19" t="s">
        <v>68</v>
      </c>
      <c r="C55" s="24">
        <f>C32*12</f>
        <v>10800</v>
      </c>
      <c r="D55" s="20"/>
      <c r="E55" s="21"/>
      <c r="F55" s="20"/>
      <c r="G55" s="20"/>
      <c r="H55" s="20"/>
      <c r="I55" s="22"/>
    </row>
    <row r="56" spans="2:12" x14ac:dyDescent="0.25">
      <c r="B56" s="19" t="s">
        <v>69</v>
      </c>
      <c r="C56" s="24">
        <f>C55*C31</f>
        <v>10800</v>
      </c>
      <c r="D56" s="20"/>
      <c r="E56" s="21"/>
      <c r="F56" s="20"/>
      <c r="G56" s="20"/>
      <c r="H56" s="20"/>
      <c r="I56" s="22"/>
    </row>
    <row r="57" spans="2:12" x14ac:dyDescent="0.25">
      <c r="B57" s="19"/>
      <c r="C57" s="25"/>
      <c r="D57" s="20"/>
      <c r="E57" s="21"/>
      <c r="F57" s="20"/>
      <c r="G57" s="20"/>
      <c r="H57" s="20"/>
      <c r="I57" s="22"/>
      <c r="K57" s="70" t="s">
        <v>76</v>
      </c>
      <c r="L57" s="71" t="s">
        <v>91</v>
      </c>
    </row>
    <row r="58" spans="2:12" x14ac:dyDescent="0.25">
      <c r="B58" s="19"/>
      <c r="C58" s="20"/>
      <c r="D58" s="20"/>
      <c r="E58" s="21"/>
      <c r="F58" s="20"/>
      <c r="G58" s="20"/>
      <c r="H58" s="26"/>
      <c r="I58" s="27"/>
    </row>
    <row r="59" spans="2:12" x14ac:dyDescent="0.25">
      <c r="B59" s="28" t="s">
        <v>71</v>
      </c>
      <c r="C59" s="58">
        <f>C53+(C52/C55)</f>
        <v>6.0388786654304036</v>
      </c>
      <c r="D59" s="20"/>
      <c r="E59" s="21"/>
      <c r="F59" s="20"/>
      <c r="G59" s="20"/>
      <c r="H59" s="29" t="s">
        <v>59</v>
      </c>
      <c r="I59" s="58">
        <f>C53*C55+C52</f>
        <v>65219.889586648358</v>
      </c>
      <c r="K59" s="68">
        <f>$I$59*VLOOKUP($H$2,$B$547:$C$549,2,)</f>
        <v>65219.889586648358</v>
      </c>
      <c r="L59" s="68">
        <f>$I$59*VLOOKUP($H$2,$B$547:$C$549,2,)*100/VLOOKUP($C$2,$B$555:$C$597,2,)</f>
        <v>65219.889586648351</v>
      </c>
    </row>
    <row r="60" spans="2:12" x14ac:dyDescent="0.25">
      <c r="B60" s="30" t="s">
        <v>70</v>
      </c>
      <c r="C60" s="58">
        <f>C59/C31</f>
        <v>6.0388786654304036</v>
      </c>
      <c r="D60" s="12"/>
      <c r="E60" s="31"/>
      <c r="F60" s="12"/>
      <c r="G60" s="12"/>
      <c r="H60" s="12"/>
      <c r="I60" s="27"/>
    </row>
    <row r="62" spans="2:12" x14ac:dyDescent="0.25">
      <c r="C62" s="66" t="s">
        <v>76</v>
      </c>
      <c r="D62" s="67" t="s">
        <v>91</v>
      </c>
    </row>
    <row r="63" spans="2:12" x14ac:dyDescent="0.25">
      <c r="B63" s="44" t="s">
        <v>71</v>
      </c>
      <c r="C63" s="68">
        <f>$C$59*VLOOKUP($H$2,$B$547:$C$549,2,)</f>
        <v>6.0388786654304036</v>
      </c>
      <c r="D63" s="68">
        <f>$C$59*VLOOKUP($H$2,$B$547:$C$549,2,)*100/VLOOKUP($C$2,$B$555:$C$597,2,)</f>
        <v>6.0388786654304036</v>
      </c>
    </row>
    <row r="64" spans="2:12" x14ac:dyDescent="0.25">
      <c r="B64" s="44" t="s">
        <v>70</v>
      </c>
      <c r="C64" s="69">
        <f>$C$60*VLOOKUP($H$2,$B$547:$C$549,2,)</f>
        <v>6.0388786654304036</v>
      </c>
      <c r="D64" s="69">
        <f>$C$60*VLOOKUP($H$2,$B$547:$C$549,2,)*100/VLOOKUP($C$2,$B$555:$C$597,2,)</f>
        <v>6.0388786654304036</v>
      </c>
    </row>
    <row r="517" spans="2:21" x14ac:dyDescent="0.25">
      <c r="B517" s="14" t="s">
        <v>50</v>
      </c>
    </row>
    <row r="520" spans="2:21" x14ac:dyDescent="0.25">
      <c r="B520" s="14" t="s">
        <v>31</v>
      </c>
      <c r="E520" s="33" t="s">
        <v>33</v>
      </c>
      <c r="H520" s="33" t="s">
        <v>34</v>
      </c>
      <c r="J520" s="33" t="s">
        <v>35</v>
      </c>
      <c r="M520" s="33" t="s">
        <v>36</v>
      </c>
      <c r="P520" s="14" t="s">
        <v>38</v>
      </c>
      <c r="Q520" s="33"/>
      <c r="U520" s="14" t="s">
        <v>49</v>
      </c>
    </row>
    <row r="521" spans="2:21" x14ac:dyDescent="0.25">
      <c r="B521" s="34" t="s">
        <v>137</v>
      </c>
      <c r="E521" s="33" t="s">
        <v>15</v>
      </c>
      <c r="H521" s="33">
        <v>1</v>
      </c>
      <c r="J521" s="33" t="s">
        <v>41</v>
      </c>
      <c r="M521" s="33" t="s">
        <v>1</v>
      </c>
      <c r="P521" s="14">
        <v>0</v>
      </c>
      <c r="U521" s="14" t="s">
        <v>10</v>
      </c>
    </row>
    <row r="522" spans="2:21" x14ac:dyDescent="0.25">
      <c r="B522" s="34" t="s">
        <v>18</v>
      </c>
      <c r="E522" s="33" t="s">
        <v>16</v>
      </c>
      <c r="H522" s="33">
        <v>10</v>
      </c>
      <c r="J522" s="33" t="s">
        <v>42</v>
      </c>
      <c r="M522" s="33" t="s">
        <v>2</v>
      </c>
      <c r="P522" s="14">
        <v>1</v>
      </c>
      <c r="U522" s="14" t="s">
        <v>12</v>
      </c>
    </row>
    <row r="523" spans="2:21" x14ac:dyDescent="0.25">
      <c r="B523" s="34" t="s">
        <v>4</v>
      </c>
      <c r="E523" s="33" t="s">
        <v>17</v>
      </c>
      <c r="H523" s="33">
        <v>50</v>
      </c>
      <c r="J523" s="33" t="s">
        <v>43</v>
      </c>
      <c r="M523" s="33" t="s">
        <v>3</v>
      </c>
      <c r="P523" s="14">
        <v>2</v>
      </c>
      <c r="U523" s="14" t="s">
        <v>80</v>
      </c>
    </row>
    <row r="524" spans="2:21" x14ac:dyDescent="0.25">
      <c r="B524" s="34" t="s">
        <v>5</v>
      </c>
      <c r="E524" s="33" t="s">
        <v>0</v>
      </c>
      <c r="H524" s="33">
        <v>100</v>
      </c>
      <c r="P524" s="14">
        <v>3</v>
      </c>
      <c r="U524" s="14" t="s">
        <v>11</v>
      </c>
    </row>
    <row r="525" spans="2:21" x14ac:dyDescent="0.25">
      <c r="B525" s="34" t="s">
        <v>6</v>
      </c>
      <c r="E525" s="14"/>
      <c r="H525" s="33">
        <v>500</v>
      </c>
      <c r="P525" s="14">
        <v>4</v>
      </c>
      <c r="U525" s="14" t="s">
        <v>82</v>
      </c>
    </row>
    <row r="526" spans="2:21" x14ac:dyDescent="0.25">
      <c r="B526" s="34" t="s">
        <v>9</v>
      </c>
      <c r="E526" s="14"/>
      <c r="H526" s="33">
        <v>1000</v>
      </c>
      <c r="P526" s="14">
        <v>5</v>
      </c>
      <c r="U526" s="14" t="s">
        <v>81</v>
      </c>
    </row>
    <row r="527" spans="2:21" x14ac:dyDescent="0.25">
      <c r="B527" s="34" t="s">
        <v>7</v>
      </c>
      <c r="E527" s="14"/>
      <c r="H527" s="33">
        <v>5000</v>
      </c>
      <c r="P527" s="14">
        <v>6</v>
      </c>
      <c r="U527" s="14" t="s">
        <v>13</v>
      </c>
    </row>
    <row r="528" spans="2:21" x14ac:dyDescent="0.25">
      <c r="B528" s="34" t="s">
        <v>8</v>
      </c>
      <c r="E528" s="14"/>
      <c r="H528" s="33">
        <v>10000</v>
      </c>
      <c r="P528" s="14">
        <v>7</v>
      </c>
    </row>
    <row r="529" spans="2:16" x14ac:dyDescent="0.25">
      <c r="B529" s="34" t="s">
        <v>19</v>
      </c>
      <c r="E529" s="14"/>
      <c r="H529" s="33">
        <v>50000</v>
      </c>
      <c r="P529" s="14">
        <v>8</v>
      </c>
    </row>
    <row r="530" spans="2:16" x14ac:dyDescent="0.25">
      <c r="B530" s="34" t="s">
        <v>0</v>
      </c>
      <c r="E530" s="14"/>
      <c r="H530" s="33">
        <v>100000</v>
      </c>
      <c r="P530" s="14">
        <v>9</v>
      </c>
    </row>
    <row r="531" spans="2:16" x14ac:dyDescent="0.25">
      <c r="E531" s="14"/>
      <c r="H531" s="33"/>
      <c r="P531" s="14">
        <v>10</v>
      </c>
    </row>
    <row r="532" spans="2:16" x14ac:dyDescent="0.25">
      <c r="E532" s="14"/>
    </row>
    <row r="533" spans="2:16" x14ac:dyDescent="0.25">
      <c r="E533" s="14"/>
    </row>
    <row r="539" spans="2:16" x14ac:dyDescent="0.25">
      <c r="B539" s="14" t="s">
        <v>78</v>
      </c>
    </row>
    <row r="541" spans="2:16" x14ac:dyDescent="0.25">
      <c r="B541" s="14" t="s">
        <v>83</v>
      </c>
    </row>
    <row r="542" spans="2:16" x14ac:dyDescent="0.25">
      <c r="B542" s="34" t="s">
        <v>76</v>
      </c>
      <c r="E542" s="34"/>
      <c r="F542" s="34"/>
      <c r="G542" s="34"/>
      <c r="H542" s="34"/>
    </row>
    <row r="543" spans="2:16" x14ac:dyDescent="0.25">
      <c r="B543" s="34" t="s">
        <v>75</v>
      </c>
      <c r="E543" s="34"/>
      <c r="F543" s="34"/>
      <c r="G543" s="34"/>
      <c r="H543" s="34"/>
    </row>
    <row r="544" spans="2:16" x14ac:dyDescent="0.25">
      <c r="B544" s="34" t="s">
        <v>77</v>
      </c>
      <c r="C544" s="34"/>
      <c r="D544" s="34"/>
      <c r="E544" s="34"/>
      <c r="F544" s="34"/>
      <c r="G544" s="34"/>
      <c r="H544" s="34"/>
    </row>
    <row r="545" spans="2:8" x14ac:dyDescent="0.25">
      <c r="C545" s="34"/>
      <c r="D545" s="34"/>
      <c r="E545" s="34"/>
      <c r="F545" s="34"/>
      <c r="G545" s="34"/>
      <c r="H545" s="34"/>
    </row>
    <row r="546" spans="2:8" x14ac:dyDescent="0.25">
      <c r="B546" s="56" t="s">
        <v>90</v>
      </c>
      <c r="C546" s="56" t="s">
        <v>79</v>
      </c>
      <c r="D546" s="56"/>
      <c r="E546" s="34"/>
      <c r="H546" s="34"/>
    </row>
    <row r="547" spans="2:8" x14ac:dyDescent="0.25">
      <c r="B547" s="34" t="s">
        <v>76</v>
      </c>
      <c r="C547" s="78">
        <v>1</v>
      </c>
      <c r="D547" s="34"/>
      <c r="E547" s="34"/>
      <c r="F547" s="34"/>
      <c r="G547" s="34"/>
      <c r="H547" s="34"/>
    </row>
    <row r="548" spans="2:8" x14ac:dyDescent="0.25">
      <c r="B548" s="34" t="s">
        <v>75</v>
      </c>
      <c r="C548" s="78">
        <v>1.1355900000000001</v>
      </c>
      <c r="D548" s="78"/>
      <c r="E548" s="34"/>
      <c r="F548" s="34"/>
      <c r="G548" s="34"/>
      <c r="H548" s="34"/>
    </row>
    <row r="549" spans="2:8" x14ac:dyDescent="0.25">
      <c r="B549" s="34" t="s">
        <v>77</v>
      </c>
      <c r="C549" s="55">
        <v>0.89676</v>
      </c>
    </row>
    <row r="552" spans="2:8" x14ac:dyDescent="0.25">
      <c r="B552" s="56" t="s">
        <v>92</v>
      </c>
      <c r="C552" s="72"/>
    </row>
    <row r="553" spans="2:8" x14ac:dyDescent="0.25">
      <c r="B553" s="79" t="s">
        <v>145</v>
      </c>
    </row>
    <row r="555" spans="2:8" x14ac:dyDescent="0.25">
      <c r="B555" s="64" t="s">
        <v>89</v>
      </c>
      <c r="C555" s="63">
        <v>100</v>
      </c>
    </row>
    <row r="556" spans="2:8" x14ac:dyDescent="0.25">
      <c r="B556" s="14" t="s">
        <v>93</v>
      </c>
      <c r="C556" s="14">
        <v>100</v>
      </c>
    </row>
    <row r="557" spans="2:8" x14ac:dyDescent="0.25">
      <c r="B557" s="14" t="s">
        <v>84</v>
      </c>
      <c r="C557" s="14">
        <v>110.8</v>
      </c>
    </row>
    <row r="558" spans="2:8" x14ac:dyDescent="0.25">
      <c r="B558" s="14" t="s">
        <v>94</v>
      </c>
      <c r="C558" s="14">
        <v>49.6</v>
      </c>
    </row>
    <row r="559" spans="2:8" x14ac:dyDescent="0.25">
      <c r="B559" s="14" t="s">
        <v>95</v>
      </c>
      <c r="C559" s="14">
        <v>68.2</v>
      </c>
    </row>
    <row r="560" spans="2:8" x14ac:dyDescent="0.25">
      <c r="B560" s="14" t="s">
        <v>96</v>
      </c>
      <c r="C560" s="14">
        <v>138.9</v>
      </c>
    </row>
    <row r="561" spans="2:3" x14ac:dyDescent="0.25">
      <c r="B561" s="14" t="s">
        <v>97</v>
      </c>
      <c r="C561" s="14">
        <v>104</v>
      </c>
    </row>
    <row r="562" spans="2:3" x14ac:dyDescent="0.25">
      <c r="B562" s="14" t="s">
        <v>88</v>
      </c>
      <c r="C562" s="14">
        <v>78.099999999999994</v>
      </c>
    </row>
    <row r="563" spans="2:3" x14ac:dyDescent="0.25">
      <c r="B563" s="14" t="s">
        <v>98</v>
      </c>
      <c r="C563" s="14">
        <v>127.2</v>
      </c>
    </row>
    <row r="564" spans="2:3" x14ac:dyDescent="0.25">
      <c r="B564" s="14" t="s">
        <v>99</v>
      </c>
      <c r="C564" s="14">
        <v>85.4</v>
      </c>
    </row>
    <row r="565" spans="2:3" x14ac:dyDescent="0.25">
      <c r="B565" s="14" t="s">
        <v>100</v>
      </c>
      <c r="C565" s="14">
        <v>92.5</v>
      </c>
    </row>
    <row r="566" spans="2:3" x14ac:dyDescent="0.25">
      <c r="B566" s="14" t="s">
        <v>86</v>
      </c>
      <c r="C566" s="14">
        <v>109.5</v>
      </c>
    </row>
    <row r="567" spans="2:3" x14ac:dyDescent="0.25">
      <c r="B567" s="14" t="s">
        <v>101</v>
      </c>
      <c r="C567" s="14">
        <v>67.400000000000006</v>
      </c>
    </row>
    <row r="568" spans="2:3" x14ac:dyDescent="0.25">
      <c r="B568" s="14" t="s">
        <v>102</v>
      </c>
      <c r="C568" s="14">
        <v>100.9</v>
      </c>
    </row>
    <row r="569" spans="2:3" x14ac:dyDescent="0.25">
      <c r="B569" s="14" t="s">
        <v>103</v>
      </c>
      <c r="C569" s="14">
        <v>89.5</v>
      </c>
    </row>
    <row r="570" spans="2:3" x14ac:dyDescent="0.25">
      <c r="B570" s="14" t="s">
        <v>104</v>
      </c>
      <c r="C570" s="14">
        <v>72.8</v>
      </c>
    </row>
    <row r="571" spans="2:3" x14ac:dyDescent="0.25">
      <c r="B571" s="14" t="s">
        <v>105</v>
      </c>
      <c r="C571" s="14">
        <v>64.5</v>
      </c>
    </row>
    <row r="572" spans="2:3" x14ac:dyDescent="0.25">
      <c r="B572" s="14" t="s">
        <v>106</v>
      </c>
      <c r="C572" s="14">
        <v>125.9</v>
      </c>
    </row>
    <row r="573" spans="2:3" x14ac:dyDescent="0.25">
      <c r="B573" s="14" t="s">
        <v>107</v>
      </c>
      <c r="C573" s="14">
        <v>63</v>
      </c>
    </row>
    <row r="574" spans="2:3" x14ac:dyDescent="0.25">
      <c r="B574" s="14" t="s">
        <v>108</v>
      </c>
      <c r="C574" s="14">
        <v>81.7</v>
      </c>
    </row>
    <row r="575" spans="2:3" x14ac:dyDescent="0.25">
      <c r="B575" s="14" t="s">
        <v>87</v>
      </c>
      <c r="C575" s="14">
        <v>112.1</v>
      </c>
    </row>
    <row r="576" spans="2:3" x14ac:dyDescent="0.25">
      <c r="B576" s="14" t="s">
        <v>109</v>
      </c>
      <c r="C576" s="14">
        <v>108.6</v>
      </c>
    </row>
    <row r="577" spans="2:3" x14ac:dyDescent="0.25">
      <c r="B577" s="14" t="s">
        <v>110</v>
      </c>
      <c r="C577" s="14">
        <v>56.7</v>
      </c>
    </row>
    <row r="578" spans="2:3" x14ac:dyDescent="0.25">
      <c r="B578" s="14" t="s">
        <v>111</v>
      </c>
      <c r="C578" s="14">
        <v>86</v>
      </c>
    </row>
    <row r="579" spans="2:3" x14ac:dyDescent="0.25">
      <c r="B579" s="14" t="s">
        <v>112</v>
      </c>
      <c r="C579" s="14">
        <v>52.6</v>
      </c>
    </row>
    <row r="580" spans="2:3" x14ac:dyDescent="0.25">
      <c r="B580" s="14" t="s">
        <v>113</v>
      </c>
      <c r="C580" s="14">
        <v>83.8</v>
      </c>
    </row>
    <row r="581" spans="2:3" x14ac:dyDescent="0.25">
      <c r="B581" s="14" t="s">
        <v>114</v>
      </c>
      <c r="C581" s="14">
        <v>69.8</v>
      </c>
    </row>
    <row r="582" spans="2:3" x14ac:dyDescent="0.25">
      <c r="B582" s="14" t="s">
        <v>85</v>
      </c>
      <c r="C582" s="14">
        <v>122.4</v>
      </c>
    </row>
    <row r="583" spans="2:3" x14ac:dyDescent="0.25">
      <c r="B583" s="14" t="s">
        <v>115</v>
      </c>
      <c r="C583" s="14">
        <v>125.5</v>
      </c>
    </row>
    <row r="584" spans="2:3" x14ac:dyDescent="0.25">
      <c r="B584" s="14" t="s">
        <v>116</v>
      </c>
      <c r="C584" s="14">
        <v>116.4</v>
      </c>
    </row>
    <row r="585" spans="2:3" x14ac:dyDescent="0.25">
      <c r="B585" s="14" t="s">
        <v>117</v>
      </c>
      <c r="C585" s="14">
        <v>166.1</v>
      </c>
    </row>
    <row r="586" spans="2:3" x14ac:dyDescent="0.25">
      <c r="B586" s="14" t="s">
        <v>118</v>
      </c>
      <c r="C586" s="32" t="s">
        <v>119</v>
      </c>
    </row>
    <row r="587" spans="2:3" x14ac:dyDescent="0.25">
      <c r="B587" s="14" t="s">
        <v>120</v>
      </c>
      <c r="C587" s="14">
        <v>149.5</v>
      </c>
    </row>
    <row r="588" spans="2:3" x14ac:dyDescent="0.25">
      <c r="B588" s="14" t="s">
        <v>121</v>
      </c>
      <c r="C588" s="14">
        <v>159.9</v>
      </c>
    </row>
    <row r="589" spans="2:3" x14ac:dyDescent="0.25">
      <c r="B589" s="14" t="s">
        <v>122</v>
      </c>
      <c r="C589" s="14">
        <v>55.6</v>
      </c>
    </row>
    <row r="590" spans="2:3" x14ac:dyDescent="0.25">
      <c r="B590" s="14" t="s">
        <v>123</v>
      </c>
      <c r="C590" s="14">
        <v>47.9</v>
      </c>
    </row>
    <row r="591" spans="2:3" x14ac:dyDescent="0.25">
      <c r="B591" s="14" t="s">
        <v>124</v>
      </c>
      <c r="C591" s="14">
        <v>49.8</v>
      </c>
    </row>
    <row r="592" spans="2:3" x14ac:dyDescent="0.25">
      <c r="B592" s="14" t="s">
        <v>125</v>
      </c>
      <c r="C592" s="14">
        <v>51.9</v>
      </c>
    </row>
    <row r="593" spans="2:3" x14ac:dyDescent="0.25">
      <c r="B593" s="14" t="s">
        <v>126</v>
      </c>
      <c r="C593" s="14">
        <v>52.7</v>
      </c>
    </row>
    <row r="594" spans="2:3" x14ac:dyDescent="0.25">
      <c r="B594" s="14" t="s">
        <v>127</v>
      </c>
      <c r="C594" s="14">
        <v>52</v>
      </c>
    </row>
    <row r="595" spans="2:3" x14ac:dyDescent="0.25">
      <c r="B595" s="14" t="s">
        <v>128</v>
      </c>
      <c r="C595" s="14">
        <v>52.1</v>
      </c>
    </row>
    <row r="596" spans="2:3" x14ac:dyDescent="0.25">
      <c r="B596" s="14" t="s">
        <v>129</v>
      </c>
      <c r="C596" s="14">
        <v>114.4</v>
      </c>
    </row>
    <row r="597" spans="2:3" x14ac:dyDescent="0.25">
      <c r="B597" s="14" t="s">
        <v>130</v>
      </c>
      <c r="C597" s="14">
        <v>110.8</v>
      </c>
    </row>
  </sheetData>
  <sheetProtection password="D792" sheet="1" selectLockedCells="1"/>
  <protectedRanges>
    <protectedRange sqref="B2 D2:F3 H2" name="Headings"/>
  </protectedRanges>
  <mergeCells count="9">
    <mergeCell ref="F25:F26"/>
    <mergeCell ref="G25:G26"/>
    <mergeCell ref="B42:G42"/>
    <mergeCell ref="D2:F2"/>
    <mergeCell ref="D3:F3"/>
    <mergeCell ref="B9:G9"/>
    <mergeCell ref="E19:F19"/>
    <mergeCell ref="E20:F20"/>
    <mergeCell ref="B22:G22"/>
  </mergeCells>
  <conditionalFormatting sqref="C6 F6 I10 I14:I18 F16:F18 I23 C34 I27:I31 I39 I43 C52:C53 C59 I59">
    <cfRule type="expression" dxfId="29" priority="10">
      <formula>$H$2="£ Sterling"</formula>
    </cfRule>
  </conditionalFormatting>
  <conditionalFormatting sqref="C6 F6 I10 I14:I18 F16:F18 I23 C34 I27:I31 I39 I43 C52:C53 C59 I59">
    <cfRule type="expression" dxfId="28" priority="9">
      <formula>$H$2="$ US Dollars"</formula>
    </cfRule>
  </conditionalFormatting>
  <conditionalFormatting sqref="C6 F6 I10 I14:I18 F16:F18 I23 C34 I27:I31 I39 I43 C52:C53 C59 I59">
    <cfRule type="expression" dxfId="27" priority="8">
      <formula>$H$2="€ Euros"</formula>
    </cfRule>
  </conditionalFormatting>
  <conditionalFormatting sqref="F15 C36 C39 C51 C60">
    <cfRule type="expression" dxfId="26" priority="5">
      <formula>$H$2="$ US Dollars"</formula>
    </cfRule>
    <cfRule type="expression" dxfId="25" priority="6">
      <formula>$H$2="£ Sterling"</formula>
    </cfRule>
    <cfRule type="expression" dxfId="24" priority="7">
      <formula>$H$2="€ Euros"</formula>
    </cfRule>
  </conditionalFormatting>
  <conditionalFormatting sqref="L12">
    <cfRule type="expression" dxfId="23" priority="4">
      <formula>$H$2="€ Euros"</formula>
    </cfRule>
  </conditionalFormatting>
  <conditionalFormatting sqref="C7">
    <cfRule type="expression" dxfId="22" priority="3">
      <formula>$H$2="£ Sterling"</formula>
    </cfRule>
  </conditionalFormatting>
  <conditionalFormatting sqref="C7">
    <cfRule type="expression" dxfId="21" priority="2">
      <formula>$H$2="$ US Dollars"</formula>
    </cfRule>
  </conditionalFormatting>
  <conditionalFormatting sqref="C7">
    <cfRule type="expression" dxfId="20" priority="1">
      <formula>$H$2="€ Euros"</formula>
    </cfRule>
  </conditionalFormatting>
  <dataValidations count="21">
    <dataValidation type="decimal" showInputMessage="1" showErrorMessage="1" prompt="Enter value between 0 and 20 for number of fixed staff supporting the facility i.e., even if no digitisation is occurring. Part FTE allowed." sqref="C16" xr:uid="{8E9AFD12-A77F-48E7-B34F-658BEC8E572A}">
      <formula1>0</formula1>
      <formula2>20</formula2>
    </dataValidation>
    <dataValidation type="decimal" allowBlank="1" showInputMessage="1" showErrorMessage="1" prompt="Enter depreciation period in years (straight line depreciation will be used)" sqref="C14" xr:uid="{7C5603B4-7815-4E31-9B3A-E0BB773611EF}">
      <formula1>1</formula1>
      <formula2>7</formula2>
    </dataValidation>
    <dataValidation allowBlank="1" showInputMessage="1" showErrorMessage="1" prompt="Enter room area of your digitisation facility" sqref="C15" xr:uid="{B289C8E8-1BE6-4F7A-A6CA-5F77E2D94B42}"/>
    <dataValidation allowBlank="1" showInputMessage="1" showErrorMessage="1" prompt="Enter monthly average gross salary for number of staff selected above" sqref="C34" xr:uid="{4DC3A8F4-002E-4636-9436-AF084CB9EB29}"/>
    <dataValidation allowBlank="1" showInputMessage="1" showErrorMessage="1" prompt="Number of hours in working week (change if necessary)" sqref="C35" xr:uid="{02C2AC11-9C08-4EB0-9E53-FD265E5942E9}"/>
    <dataValidation allowBlank="1" showInputMessage="1" showErrorMessage="1" prompt="Only enter a value here if you do not know the split across the above 5 task clusters" sqref="F34" xr:uid="{43564B84-8A7A-459F-85FC-ACBB463EC405}"/>
    <dataValidation allowBlank="1" showInputMessage="1" showErrorMessage="1" prompt="Enter in minutes. Add up for all persons involved. See Instructions sheet for explanation of the tasks_x000a_" sqref="F27:F31" xr:uid="{007F20A0-A023-4BD6-AEEF-2014FD0B374C}"/>
    <dataValidation allowBlank="1" showInputMessage="1" showErrorMessage="1" prompt="This cell not currently used" sqref="C17" xr:uid="{1A530096-F7E7-45FE-B378-8630E7FCE3E9}"/>
    <dataValidation type="list" allowBlank="1" showInputMessage="1" showErrorMessage="1" prompt="Choose type of workflow" sqref="B28" xr:uid="{66B4A6DA-3BAE-465A-8DCA-939ECAEB7F4F}">
      <formula1>$J$520:$J$523</formula1>
    </dataValidation>
    <dataValidation type="list" allowBlank="1" showInputMessage="1" showErrorMessage="1" prompt="Choose type of process" sqref="B29" xr:uid="{812BD87A-5258-4D0A-8C9F-A008A6A31FD3}">
      <formula1>$M$520:$M$523</formula1>
    </dataValidation>
    <dataValidation type="list" allowBlank="1" showInputMessage="1" showErrorMessage="1" prompt="Select number of staff needed for digitisation (additional to number of fixed staff, above)" sqref="C33" xr:uid="{6E23D9DC-9DF1-45C7-8C7B-EAE1A809287F}">
      <formula1>$P$520:$P$532</formula1>
    </dataValidation>
    <dataValidation type="list" allowBlank="1" showInputMessage="1" showErrorMessage="1" prompt="Choose unit of digitisation" sqref="B30" xr:uid="{3C232E0E-9612-4D66-9023-68B6D9A93F17}">
      <formula1>$E$520:$E$524</formula1>
    </dataValidation>
    <dataValidation type="list" errorStyle="information" allowBlank="1" showInputMessage="1" prompt="Choose typical batch size (or enter own value)" sqref="C31" xr:uid="{B95CA7CC-973E-472B-BBD3-55BFC81C8C68}">
      <formula1>$H$520:$H$530</formula1>
    </dataValidation>
    <dataValidation type="list" allowBlank="1" showInputMessage="1" showErrorMessage="1" prompt="Choose specimen category" sqref="B27" xr:uid="{FC907187-A26A-483A-AAD9-28EB6B803C4C}">
      <formula1>$B$520:$B$530</formula1>
    </dataValidation>
    <dataValidation type="list" allowBlank="1" showInputMessage="1" prompt="Select your institution from the drop-down list, or enter if not listed" sqref="B2:B3" xr:uid="{0FB371E3-4919-4042-81C0-5754AB186C60}">
      <formula1>$U$520:$U$527</formula1>
    </dataValidation>
    <dataValidation type="list" allowBlank="1" showInputMessage="1" showErrorMessage="1" prompt="Choose currency to use from dropdown list_x000a_" sqref="H2:H3" xr:uid="{F919E8F7-9B5C-4360-855B-FA14AE886399}">
      <formula1>$B$541:$B$544</formula1>
    </dataValidation>
    <dataValidation allowBlank="1" showInputMessage="1" showErrorMessage="1" prompt="If applicable, include costs of any upgrade(s) divided over the lifetimeof the digitisation facility e.g., if upgrade cost is €10,000 and lifetime is 5 years, enter €2,000." sqref="C18" xr:uid="{F1249D3F-8CD8-4E99-BCC8-654804BA7B7A}"/>
    <dataValidation allowBlank="1" showErrorMessage="1" sqref="B19" xr:uid="{5D15EEA6-3CFC-40F0-BB76-75965BC71443}"/>
    <dataValidation allowBlank="1" showInputMessage="1" showErrorMessage="1" prompt="Capital equipment costs include digitisation equipment, furniture, computers, etc." sqref="C6" xr:uid="{30171ED1-0B3F-45E5-A634-6C7095830263}"/>
    <dataValidation allowBlank="1" showInputMessage="1" showErrorMessage="1" prompt="Other costs are costs of procurement, making a room ready e.g., decorating, wiring, etc._x000a_" sqref="F6" xr:uid="{4E9D5F28-BB8E-48A6-936D-6005936E967E}"/>
    <dataValidation allowBlank="1" showInputMessage="1" showErrorMessage="1" prompt="Include any equipment (capital) upgrade costs during lifetime of facility (but not annual maintenance contracts, licenses, etc.)" sqref="C7" xr:uid="{FD704038-7719-4E3A-A36B-0CB098D21197}"/>
  </dataValidations>
  <hyperlinks>
    <hyperlink ref="B553" r:id="rId1" xr:uid="{E607C751-58BA-484B-8E1C-2155EE164450}"/>
  </hyperlinks>
  <pageMargins left="0.7" right="0.7" top="0.75" bottom="0.75" header="0.3" footer="0.3"/>
  <pageSetup paperSize="9" orientation="portrait" horizontalDpi="4294967293"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FCD73-83A0-4000-A523-7AF867B3CEAA}">
  <dimension ref="A2:AV597"/>
  <sheetViews>
    <sheetView topLeftCell="A19" workbookViewId="0">
      <selection activeCell="B27" sqref="B27"/>
    </sheetView>
  </sheetViews>
  <sheetFormatPr defaultColWidth="8.7109375" defaultRowHeight="15" x14ac:dyDescent="0.25"/>
  <cols>
    <col min="1" max="1" width="1.5703125" style="14" customWidth="1"/>
    <col min="2" max="2" width="55.5703125" style="14" bestFit="1" customWidth="1"/>
    <col min="3" max="3" width="10.28515625" style="14" bestFit="1" customWidth="1"/>
    <col min="4" max="4" width="8.7109375" style="14"/>
    <col min="5" max="5" width="29.85546875" style="32" customWidth="1"/>
    <col min="6" max="6" width="10.28515625" style="14" bestFit="1" customWidth="1"/>
    <col min="7" max="7" width="8.7109375" style="14"/>
    <col min="8" max="8" width="24.85546875" style="14" bestFit="1" customWidth="1"/>
    <col min="9" max="9" width="11.42578125" style="14" bestFit="1" customWidth="1"/>
    <col min="10" max="10" width="1.140625" style="14" customWidth="1"/>
    <col min="11" max="16384" width="8.7109375" style="14"/>
  </cols>
  <sheetData>
    <row r="2" spans="1:14" ht="42.6" customHeight="1" x14ac:dyDescent="0.25">
      <c r="B2" s="1" t="s">
        <v>146</v>
      </c>
      <c r="C2" s="57" t="str">
        <f>_xlfn.SWITCH($B$2, "APM","Belgium","LUOMUS","Finland","MNHN","France","Naturalis","Netherlands","NHMUK","UK","RBGK","UK","UTARTU","Estonia","- -")</f>
        <v>- -</v>
      </c>
      <c r="D2" s="85" t="s">
        <v>147</v>
      </c>
      <c r="E2" s="86"/>
      <c r="F2" s="87"/>
      <c r="H2" s="80" t="s">
        <v>76</v>
      </c>
    </row>
    <row r="3" spans="1:14" ht="42.6" customHeight="1" x14ac:dyDescent="0.25">
      <c r="C3" s="57"/>
      <c r="D3" s="88"/>
      <c r="E3" s="89"/>
      <c r="F3" s="90"/>
    </row>
    <row r="5" spans="1:14" x14ac:dyDescent="0.25">
      <c r="A5" s="9"/>
      <c r="B5" s="15" t="s">
        <v>30</v>
      </c>
      <c r="C5" s="16"/>
      <c r="D5" s="16"/>
      <c r="E5" s="17"/>
      <c r="F5" s="16"/>
      <c r="G5" s="16"/>
      <c r="H5" s="16"/>
      <c r="I5" s="18"/>
    </row>
    <row r="6" spans="1:14" ht="14.45" customHeight="1" x14ac:dyDescent="0.25">
      <c r="A6" s="48"/>
      <c r="B6" s="36" t="s">
        <v>22</v>
      </c>
      <c r="C6" s="2">
        <v>45000</v>
      </c>
      <c r="D6" s="20"/>
      <c r="E6" s="49" t="s">
        <v>54</v>
      </c>
      <c r="F6" s="2"/>
      <c r="G6" s="20"/>
      <c r="H6" s="20"/>
      <c r="I6" s="22"/>
    </row>
    <row r="7" spans="1:14" ht="14.45" customHeight="1" x14ac:dyDescent="0.25">
      <c r="A7" s="9"/>
      <c r="B7" s="36" t="s">
        <v>140</v>
      </c>
      <c r="C7" s="2"/>
      <c r="D7" s="20"/>
      <c r="E7" s="20"/>
      <c r="F7" s="20"/>
      <c r="G7" s="20"/>
      <c r="H7" s="20"/>
      <c r="I7" s="22"/>
    </row>
    <row r="8" spans="1:14" ht="14.45" customHeight="1" x14ac:dyDescent="0.25">
      <c r="A8" s="9"/>
      <c r="B8" s="53" t="s">
        <v>144</v>
      </c>
      <c r="C8" s="20"/>
      <c r="D8" s="20"/>
      <c r="E8" s="20"/>
      <c r="F8" s="20"/>
      <c r="G8" s="20"/>
      <c r="H8" s="20"/>
      <c r="I8" s="22"/>
    </row>
    <row r="9" spans="1:14" ht="45" customHeight="1" x14ac:dyDescent="0.25">
      <c r="A9" s="9"/>
      <c r="B9" s="83" t="s">
        <v>168</v>
      </c>
      <c r="C9" s="84"/>
      <c r="D9" s="84"/>
      <c r="E9" s="84"/>
      <c r="F9" s="84"/>
      <c r="G9" s="84"/>
      <c r="H9" s="29"/>
      <c r="I9" s="35"/>
      <c r="K9" s="70" t="s">
        <v>76</v>
      </c>
      <c r="L9" s="71" t="s">
        <v>91</v>
      </c>
      <c r="M9" s="65"/>
      <c r="N9" s="65"/>
    </row>
    <row r="10" spans="1:14" ht="14.45" customHeight="1" x14ac:dyDescent="0.25">
      <c r="A10" s="9"/>
      <c r="B10" s="10"/>
      <c r="C10" s="11"/>
      <c r="D10" s="11"/>
      <c r="E10" s="11"/>
      <c r="F10" s="11"/>
      <c r="G10" s="12"/>
      <c r="H10" s="46" t="s">
        <v>29</v>
      </c>
      <c r="I10" s="58">
        <f>C6+F6</f>
        <v>45000</v>
      </c>
      <c r="K10" s="68">
        <f>$I$10*VLOOKUP($H$2,$B$547:$C$549,2,)</f>
        <v>45000</v>
      </c>
      <c r="L10" s="68">
        <f>$I$10*VLOOKUP($H$2,$B$547:$C$549,2,)*100/VLOOKUP($C$2,$B$555:$C$597,2,)</f>
        <v>45000</v>
      </c>
    </row>
    <row r="11" spans="1:14" ht="14.45" customHeight="1" x14ac:dyDescent="0.25">
      <c r="A11" s="9"/>
      <c r="B11" s="9"/>
      <c r="C11" s="9"/>
      <c r="D11" s="9"/>
      <c r="E11" s="9"/>
      <c r="F11" s="9"/>
      <c r="G11" s="9"/>
      <c r="H11" s="47"/>
    </row>
    <row r="12" spans="1:14" ht="14.45" customHeight="1" x14ac:dyDescent="0.25">
      <c r="B12" s="15" t="s">
        <v>27</v>
      </c>
      <c r="C12" s="16"/>
      <c r="D12" s="16"/>
      <c r="E12" s="16"/>
      <c r="F12" s="16"/>
      <c r="G12" s="16"/>
      <c r="H12" s="16"/>
      <c r="I12" s="18"/>
    </row>
    <row r="13" spans="1:14" ht="14.45" customHeight="1" x14ac:dyDescent="0.25">
      <c r="B13" s="19"/>
      <c r="C13" s="20"/>
      <c r="D13" s="20"/>
      <c r="E13" s="20"/>
      <c r="F13" s="20"/>
      <c r="G13" s="20"/>
      <c r="H13" s="29" t="s">
        <v>26</v>
      </c>
      <c r="I13" s="22"/>
    </row>
    <row r="14" spans="1:14" x14ac:dyDescent="0.25">
      <c r="A14" s="44"/>
      <c r="B14" s="36" t="s">
        <v>133</v>
      </c>
      <c r="C14" s="2">
        <v>7</v>
      </c>
      <c r="D14" s="20"/>
      <c r="E14" s="21"/>
      <c r="F14" s="20"/>
      <c r="G14" s="20"/>
      <c r="H14" s="20" t="s">
        <v>25</v>
      </c>
      <c r="I14" s="24">
        <f>(C6+C7)/C14</f>
        <v>6428.5714285714284</v>
      </c>
    </row>
    <row r="15" spans="1:14" ht="17.25" x14ac:dyDescent="0.25">
      <c r="B15" s="36" t="s">
        <v>20</v>
      </c>
      <c r="C15" s="3">
        <v>12</v>
      </c>
      <c r="D15" s="20"/>
      <c r="E15" s="21" t="s">
        <v>21</v>
      </c>
      <c r="F15" s="59">
        <v>0</v>
      </c>
      <c r="G15" s="20"/>
      <c r="H15" s="20" t="s">
        <v>60</v>
      </c>
      <c r="I15" s="24">
        <f>C15*F15*12</f>
        <v>0</v>
      </c>
    </row>
    <row r="16" spans="1:14" x14ac:dyDescent="0.25">
      <c r="B16" s="36" t="s">
        <v>142</v>
      </c>
      <c r="C16" s="4">
        <v>0</v>
      </c>
      <c r="D16" s="20"/>
      <c r="E16" s="21" t="s">
        <v>141</v>
      </c>
      <c r="F16" s="2">
        <v>4635</v>
      </c>
      <c r="G16" s="20"/>
      <c r="H16" s="20" t="s">
        <v>61</v>
      </c>
      <c r="I16" s="24">
        <f>C16*F16*12</f>
        <v>0</v>
      </c>
    </row>
    <row r="17" spans="1:48" x14ac:dyDescent="0.25">
      <c r="B17" s="36"/>
      <c r="C17" s="76"/>
      <c r="D17" s="20"/>
      <c r="E17" s="21" t="s">
        <v>51</v>
      </c>
      <c r="F17" s="2">
        <v>1150</v>
      </c>
      <c r="G17" s="20"/>
      <c r="H17" s="20" t="s">
        <v>62</v>
      </c>
      <c r="I17" s="24">
        <f>F17*12</f>
        <v>13800</v>
      </c>
    </row>
    <row r="18" spans="1:48" x14ac:dyDescent="0.25">
      <c r="B18" s="36"/>
      <c r="C18" s="77"/>
      <c r="D18" s="20"/>
      <c r="E18" s="21" t="s">
        <v>53</v>
      </c>
      <c r="F18" s="2"/>
      <c r="G18" s="20"/>
      <c r="H18" s="20" t="s">
        <v>52</v>
      </c>
      <c r="I18" s="24">
        <f>F18*12</f>
        <v>0</v>
      </c>
    </row>
    <row r="19" spans="1:48" x14ac:dyDescent="0.25">
      <c r="B19" s="75"/>
      <c r="C19" s="73"/>
      <c r="D19" s="42"/>
      <c r="E19" s="91" t="s">
        <v>138</v>
      </c>
      <c r="F19" s="91"/>
      <c r="G19" s="20"/>
      <c r="H19" s="20"/>
      <c r="I19" s="22"/>
    </row>
    <row r="20" spans="1:48" x14ac:dyDescent="0.25">
      <c r="B20" s="74"/>
      <c r="C20" s="20"/>
      <c r="D20" s="20"/>
      <c r="E20" s="91" t="s">
        <v>139</v>
      </c>
      <c r="F20" s="91"/>
      <c r="G20" s="20"/>
      <c r="H20" s="26"/>
      <c r="I20" s="22"/>
      <c r="AV20" s="33"/>
    </row>
    <row r="21" spans="1:48" x14ac:dyDescent="0.25">
      <c r="B21" s="53" t="s">
        <v>143</v>
      </c>
      <c r="C21" s="20"/>
      <c r="D21" s="20"/>
      <c r="E21" s="21"/>
      <c r="F21" s="20"/>
      <c r="G21" s="20"/>
      <c r="H21" s="26"/>
      <c r="I21" s="22"/>
      <c r="AV21" s="33"/>
    </row>
    <row r="22" spans="1:48" ht="45" customHeight="1" x14ac:dyDescent="0.25">
      <c r="A22" s="9"/>
      <c r="B22" s="83"/>
      <c r="C22" s="84"/>
      <c r="D22" s="84"/>
      <c r="E22" s="84"/>
      <c r="F22" s="84"/>
      <c r="G22" s="84"/>
      <c r="H22" s="29"/>
      <c r="I22" s="35"/>
      <c r="K22" s="70" t="s">
        <v>76</v>
      </c>
      <c r="L22" s="71" t="s">
        <v>91</v>
      </c>
    </row>
    <row r="23" spans="1:48" ht="14.45" customHeight="1" x14ac:dyDescent="0.25">
      <c r="A23" s="9"/>
      <c r="B23" s="10"/>
      <c r="C23" s="11"/>
      <c r="D23" s="11"/>
      <c r="E23" s="11"/>
      <c r="F23" s="11"/>
      <c r="G23" s="12"/>
      <c r="H23" s="43" t="s">
        <v>24</v>
      </c>
      <c r="I23" s="58">
        <f>SUM(I14, I15, I16, I17, I18)</f>
        <v>20228.571428571428</v>
      </c>
      <c r="K23" s="68">
        <f>$I$23*VLOOKUP($H$2,$B$547:$C$549,2,)</f>
        <v>20228.571428571428</v>
      </c>
      <c r="L23" s="68">
        <f>$I$23*VLOOKUP($H$2,$B$547:$C$549,2,)*100/VLOOKUP($C$2,$B$555:$C$597,2,)</f>
        <v>20228.571428571428</v>
      </c>
    </row>
    <row r="24" spans="1:48" x14ac:dyDescent="0.25">
      <c r="H24" s="44"/>
      <c r="AV24" s="33"/>
    </row>
    <row r="25" spans="1:48" ht="15.95" customHeight="1" x14ac:dyDescent="0.25">
      <c r="B25" s="15" t="s">
        <v>28</v>
      </c>
      <c r="C25" s="16"/>
      <c r="D25" s="16"/>
      <c r="E25" s="17"/>
      <c r="F25" s="81" t="s">
        <v>131</v>
      </c>
      <c r="G25" s="81" t="s">
        <v>40</v>
      </c>
      <c r="H25" s="16"/>
      <c r="I25" s="18"/>
      <c r="AQ25" s="33"/>
      <c r="AR25" s="33"/>
      <c r="AS25" s="33"/>
      <c r="AT25" s="33"/>
      <c r="AU25" s="33"/>
      <c r="AV25" s="33"/>
    </row>
    <row r="26" spans="1:48" ht="15.95" customHeight="1" x14ac:dyDescent="0.25">
      <c r="B26" s="19" t="s">
        <v>37</v>
      </c>
      <c r="C26" s="20"/>
      <c r="D26" s="29" t="s">
        <v>14</v>
      </c>
      <c r="E26" s="21"/>
      <c r="F26" s="82"/>
      <c r="G26" s="82"/>
      <c r="H26" s="45" t="s">
        <v>32</v>
      </c>
      <c r="I26" s="22"/>
      <c r="AU26" s="33"/>
      <c r="AV26" s="33"/>
    </row>
    <row r="27" spans="1:48" x14ac:dyDescent="0.25">
      <c r="B27" s="5" t="s">
        <v>18</v>
      </c>
      <c r="C27" s="42"/>
      <c r="D27" s="42" t="s">
        <v>44</v>
      </c>
      <c r="E27" s="21"/>
      <c r="F27" s="54"/>
      <c r="G27" s="41">
        <f>F27*C31/60</f>
        <v>0</v>
      </c>
      <c r="H27" s="39"/>
      <c r="I27" s="24">
        <f>G27*C36*C32*12</f>
        <v>0</v>
      </c>
      <c r="AV27" s="33"/>
    </row>
    <row r="28" spans="1:48" ht="15" customHeight="1" x14ac:dyDescent="0.25">
      <c r="B28" s="5" t="s">
        <v>42</v>
      </c>
      <c r="C28" s="42"/>
      <c r="D28" s="42" t="s">
        <v>73</v>
      </c>
      <c r="E28" s="21"/>
      <c r="F28" s="54"/>
      <c r="G28" s="41">
        <f>F28*C31/60</f>
        <v>0</v>
      </c>
      <c r="H28" s="39"/>
      <c r="I28" s="24">
        <f>G28*C36*C32*12</f>
        <v>0</v>
      </c>
    </row>
    <row r="29" spans="1:48" x14ac:dyDescent="0.25">
      <c r="B29" s="5" t="s">
        <v>1</v>
      </c>
      <c r="C29" s="20"/>
      <c r="D29" s="42" t="s">
        <v>45</v>
      </c>
      <c r="E29" s="21"/>
      <c r="F29" s="54"/>
      <c r="G29" s="41">
        <f>F29*C31/60</f>
        <v>0</v>
      </c>
      <c r="H29" s="39"/>
      <c r="I29" s="24">
        <f>G29*C36*C32*12</f>
        <v>0</v>
      </c>
    </row>
    <row r="30" spans="1:48" x14ac:dyDescent="0.25">
      <c r="B30" s="5" t="s">
        <v>0</v>
      </c>
      <c r="C30" s="21"/>
      <c r="D30" s="42" t="s">
        <v>74</v>
      </c>
      <c r="E30" s="21"/>
      <c r="F30" s="54"/>
      <c r="G30" s="41">
        <f>F30*C31/60</f>
        <v>0</v>
      </c>
      <c r="H30" s="39"/>
      <c r="I30" s="24">
        <f>G30*C36*C32*12</f>
        <v>0</v>
      </c>
    </row>
    <row r="31" spans="1:48" x14ac:dyDescent="0.25">
      <c r="B31" s="23" t="s">
        <v>136</v>
      </c>
      <c r="C31" s="7">
        <v>1</v>
      </c>
      <c r="D31" s="42" t="s">
        <v>46</v>
      </c>
      <c r="E31" s="21"/>
      <c r="F31" s="54"/>
      <c r="G31" s="41">
        <f>F31*C31/60</f>
        <v>0</v>
      </c>
      <c r="H31" s="39"/>
      <c r="I31" s="24">
        <f>G31*C36*C32*12</f>
        <v>0</v>
      </c>
    </row>
    <row r="32" spans="1:48" x14ac:dyDescent="0.25">
      <c r="B32" s="23" t="s">
        <v>48</v>
      </c>
      <c r="C32" s="6">
        <v>200</v>
      </c>
      <c r="D32" s="42"/>
      <c r="E32" s="21"/>
      <c r="F32" s="20"/>
      <c r="G32" s="20"/>
      <c r="H32" s="39"/>
      <c r="I32" s="22"/>
    </row>
    <row r="33" spans="1:12" x14ac:dyDescent="0.25">
      <c r="B33" s="23" t="s">
        <v>58</v>
      </c>
      <c r="C33" s="7">
        <v>1</v>
      </c>
      <c r="D33" s="20"/>
      <c r="E33" s="42" t="s">
        <v>47</v>
      </c>
      <c r="F33" s="20"/>
      <c r="G33" s="20"/>
      <c r="H33" s="20"/>
      <c r="I33" s="22"/>
    </row>
    <row r="34" spans="1:12" x14ac:dyDescent="0.25">
      <c r="B34" s="23" t="s">
        <v>23</v>
      </c>
      <c r="C34" s="60">
        <v>4635</v>
      </c>
      <c r="D34" s="21"/>
      <c r="E34" s="21" t="s">
        <v>57</v>
      </c>
      <c r="F34" s="8">
        <v>45</v>
      </c>
      <c r="G34" s="20"/>
      <c r="H34" s="20"/>
      <c r="I34" s="22"/>
    </row>
    <row r="35" spans="1:12" x14ac:dyDescent="0.25">
      <c r="B35" s="23" t="s">
        <v>39</v>
      </c>
      <c r="C35" s="7">
        <v>38</v>
      </c>
      <c r="D35" s="20"/>
      <c r="E35" s="21"/>
      <c r="F35" s="20"/>
      <c r="G35" s="20"/>
      <c r="H35" s="20"/>
      <c r="I35" s="22"/>
    </row>
    <row r="36" spans="1:12" x14ac:dyDescent="0.25">
      <c r="B36" s="36" t="s">
        <v>63</v>
      </c>
      <c r="C36" s="61">
        <f>C33*C34/4.333/C35</f>
        <v>28.149938659249091</v>
      </c>
      <c r="D36" s="20"/>
      <c r="E36" s="21" t="s">
        <v>132</v>
      </c>
      <c r="F36" s="37">
        <f>IF(F34=0,SUM(F27:F31),F34)</f>
        <v>45</v>
      </c>
      <c r="G36" s="38">
        <f>IF(F34=0,F36*C31/60,F34*C31/60)</f>
        <v>0.75</v>
      </c>
      <c r="H36" s="20"/>
      <c r="I36" s="22"/>
    </row>
    <row r="37" spans="1:12" x14ac:dyDescent="0.25">
      <c r="B37" s="36"/>
      <c r="C37" s="39"/>
      <c r="D37" s="20"/>
      <c r="E37" s="40"/>
      <c r="F37" s="26"/>
      <c r="G37" s="26"/>
      <c r="H37" s="20"/>
      <c r="I37" s="22"/>
    </row>
    <row r="38" spans="1:12" x14ac:dyDescent="0.25">
      <c r="B38" s="23" t="s">
        <v>134</v>
      </c>
      <c r="C38" s="39"/>
      <c r="D38" s="20"/>
      <c r="E38" s="40"/>
      <c r="F38" s="26"/>
      <c r="G38" s="26"/>
      <c r="H38" s="20"/>
      <c r="I38" s="22"/>
    </row>
    <row r="39" spans="1:12" x14ac:dyDescent="0.25">
      <c r="B39" s="23" t="s">
        <v>135</v>
      </c>
      <c r="C39" s="62"/>
      <c r="D39" s="20"/>
      <c r="E39" s="21"/>
      <c r="F39" s="20"/>
      <c r="G39" s="41"/>
      <c r="H39" s="20" t="s">
        <v>56</v>
      </c>
      <c r="I39" s="24">
        <f>C39*C32*12</f>
        <v>0</v>
      </c>
    </row>
    <row r="40" spans="1:12" ht="14.45" customHeight="1" x14ac:dyDescent="0.25">
      <c r="B40" s="23"/>
      <c r="C40" s="39"/>
      <c r="D40" s="20"/>
      <c r="E40" s="21"/>
      <c r="F40" s="20"/>
      <c r="G40" s="41"/>
      <c r="H40" s="20"/>
      <c r="I40" s="35"/>
    </row>
    <row r="41" spans="1:12" ht="14.45" customHeight="1" x14ac:dyDescent="0.25">
      <c r="B41" s="50" t="s">
        <v>72</v>
      </c>
      <c r="C41" s="51"/>
      <c r="D41" s="51"/>
      <c r="E41" s="51"/>
      <c r="F41" s="51"/>
      <c r="G41" s="52"/>
      <c r="H41" s="20"/>
      <c r="I41" s="35"/>
    </row>
    <row r="42" spans="1:12" ht="45" customHeight="1" x14ac:dyDescent="0.25">
      <c r="A42" s="9"/>
      <c r="B42" s="83" t="s">
        <v>167</v>
      </c>
      <c r="C42" s="84"/>
      <c r="D42" s="84"/>
      <c r="E42" s="84"/>
      <c r="F42" s="84"/>
      <c r="G42" s="84"/>
      <c r="H42" s="29"/>
      <c r="I42" s="35"/>
      <c r="K42" s="70" t="s">
        <v>76</v>
      </c>
      <c r="L42" s="71" t="s">
        <v>91</v>
      </c>
    </row>
    <row r="43" spans="1:12" x14ac:dyDescent="0.25">
      <c r="A43" s="9"/>
      <c r="B43" s="10"/>
      <c r="C43" s="11"/>
      <c r="D43" s="11"/>
      <c r="E43" s="11"/>
      <c r="F43" s="11"/>
      <c r="G43" s="12"/>
      <c r="H43" s="13" t="s">
        <v>55</v>
      </c>
      <c r="I43" s="58">
        <f>IF(F34=0, SUM(I27:I31, I39), (G36*C36*C32*12)+I39)</f>
        <v>50669.889586648365</v>
      </c>
      <c r="K43" s="68">
        <f>$I$43*VLOOKUP($H$2,$B$547:$C$549,2,)</f>
        <v>50669.889586648365</v>
      </c>
      <c r="L43" s="68">
        <f>$I$43*VLOOKUP($H$2,$B$547:$C$549,2,)*100/VLOOKUP($C$2,$B$555:$C$597,2,)</f>
        <v>50669.889586648365</v>
      </c>
    </row>
    <row r="49" spans="2:12" x14ac:dyDescent="0.25">
      <c r="B49" s="15" t="s">
        <v>66</v>
      </c>
      <c r="C49" s="16"/>
      <c r="D49" s="16"/>
      <c r="E49" s="17"/>
      <c r="F49" s="16"/>
      <c r="G49" s="16"/>
      <c r="H49" s="16"/>
      <c r="I49" s="18"/>
    </row>
    <row r="50" spans="2:12" x14ac:dyDescent="0.25">
      <c r="B50" s="19"/>
      <c r="C50" s="20"/>
      <c r="D50" s="20"/>
      <c r="E50" s="21"/>
      <c r="F50" s="20"/>
      <c r="G50" s="20"/>
      <c r="H50" s="20"/>
      <c r="I50" s="22"/>
    </row>
    <row r="51" spans="2:12" x14ac:dyDescent="0.25">
      <c r="B51" s="19" t="s">
        <v>64</v>
      </c>
      <c r="C51" s="24">
        <f>C36+(C16*F16*12/52/C35)</f>
        <v>28.149938659249091</v>
      </c>
      <c r="D51" s="20"/>
      <c r="E51" s="21"/>
      <c r="F51" s="20"/>
      <c r="G51" s="20"/>
      <c r="H51" s="20"/>
      <c r="I51" s="22"/>
    </row>
    <row r="52" spans="2:12" x14ac:dyDescent="0.25">
      <c r="B52" s="19" t="s">
        <v>65</v>
      </c>
      <c r="C52" s="24">
        <f>I23</f>
        <v>20228.571428571428</v>
      </c>
      <c r="D52" s="20"/>
      <c r="E52" s="21"/>
      <c r="F52" s="20"/>
      <c r="G52" s="20"/>
      <c r="H52" s="20"/>
      <c r="I52" s="22"/>
    </row>
    <row r="53" spans="2:12" x14ac:dyDescent="0.25">
      <c r="B53" s="23" t="s">
        <v>67</v>
      </c>
      <c r="C53" s="24">
        <f>G36*C36+C39</f>
        <v>21.112453994436819</v>
      </c>
      <c r="D53" s="20"/>
      <c r="E53" s="20"/>
      <c r="F53" s="20"/>
      <c r="G53" s="20"/>
      <c r="H53" s="20"/>
      <c r="I53" s="22"/>
    </row>
    <row r="54" spans="2:12" x14ac:dyDescent="0.25">
      <c r="B54" s="19"/>
      <c r="C54" s="20"/>
      <c r="D54" s="20"/>
      <c r="E54" s="21"/>
      <c r="F54" s="20"/>
      <c r="G54" s="20"/>
      <c r="H54" s="20"/>
      <c r="I54" s="22"/>
    </row>
    <row r="55" spans="2:12" x14ac:dyDescent="0.25">
      <c r="B55" s="19" t="s">
        <v>68</v>
      </c>
      <c r="C55" s="24">
        <f>C32*12</f>
        <v>2400</v>
      </c>
      <c r="D55" s="20"/>
      <c r="E55" s="21"/>
      <c r="F55" s="20"/>
      <c r="G55" s="20"/>
      <c r="H55" s="20"/>
      <c r="I55" s="22"/>
    </row>
    <row r="56" spans="2:12" x14ac:dyDescent="0.25">
      <c r="B56" s="19" t="s">
        <v>69</v>
      </c>
      <c r="C56" s="24">
        <f>C55*C31</f>
        <v>2400</v>
      </c>
      <c r="D56" s="20"/>
      <c r="E56" s="21"/>
      <c r="F56" s="20"/>
      <c r="G56" s="20"/>
      <c r="H56" s="20"/>
      <c r="I56" s="22"/>
    </row>
    <row r="57" spans="2:12" x14ac:dyDescent="0.25">
      <c r="B57" s="19"/>
      <c r="C57" s="25"/>
      <c r="D57" s="20"/>
      <c r="E57" s="21"/>
      <c r="F57" s="20"/>
      <c r="G57" s="20"/>
      <c r="H57" s="20"/>
      <c r="I57" s="22"/>
      <c r="K57" s="70" t="s">
        <v>76</v>
      </c>
      <c r="L57" s="71" t="s">
        <v>91</v>
      </c>
    </row>
    <row r="58" spans="2:12" x14ac:dyDescent="0.25">
      <c r="B58" s="19"/>
      <c r="C58" s="20"/>
      <c r="D58" s="20"/>
      <c r="E58" s="21"/>
      <c r="F58" s="20"/>
      <c r="G58" s="20"/>
      <c r="H58" s="26"/>
      <c r="I58" s="27"/>
    </row>
    <row r="59" spans="2:12" x14ac:dyDescent="0.25">
      <c r="B59" s="28" t="s">
        <v>71</v>
      </c>
      <c r="C59" s="58">
        <f>C53+(C52/C55)</f>
        <v>29.54102542300825</v>
      </c>
      <c r="D59" s="20"/>
      <c r="E59" s="21"/>
      <c r="F59" s="20"/>
      <c r="G59" s="20"/>
      <c r="H59" s="29" t="s">
        <v>59</v>
      </c>
      <c r="I59" s="58">
        <f>C53*C55+C52</f>
        <v>70898.4610152198</v>
      </c>
      <c r="K59" s="68">
        <f>$I$59*VLOOKUP($H$2,$B$547:$C$549,2,)</f>
        <v>70898.4610152198</v>
      </c>
      <c r="L59" s="68">
        <f>$I$59*VLOOKUP($H$2,$B$547:$C$549,2,)*100/VLOOKUP($C$2,$B$555:$C$597,2,)</f>
        <v>70898.4610152198</v>
      </c>
    </row>
    <row r="60" spans="2:12" x14ac:dyDescent="0.25">
      <c r="B60" s="30" t="s">
        <v>70</v>
      </c>
      <c r="C60" s="58">
        <f>C59/C31</f>
        <v>29.54102542300825</v>
      </c>
      <c r="D60" s="12"/>
      <c r="E60" s="31"/>
      <c r="F60" s="12"/>
      <c r="G60" s="12"/>
      <c r="H60" s="12"/>
      <c r="I60" s="27"/>
    </row>
    <row r="62" spans="2:12" x14ac:dyDescent="0.25">
      <c r="C62" s="66" t="s">
        <v>76</v>
      </c>
      <c r="D62" s="67" t="s">
        <v>91</v>
      </c>
    </row>
    <row r="63" spans="2:12" x14ac:dyDescent="0.25">
      <c r="B63" s="44" t="s">
        <v>71</v>
      </c>
      <c r="C63" s="68">
        <f>$C$59*VLOOKUP($H$2,$B$547:$C$549,2,)</f>
        <v>29.54102542300825</v>
      </c>
      <c r="D63" s="68">
        <f>$C$59*VLOOKUP($H$2,$B$547:$C$549,2,)*100/VLOOKUP($C$2,$B$555:$C$597,2,)</f>
        <v>29.54102542300825</v>
      </c>
    </row>
    <row r="64" spans="2:12" x14ac:dyDescent="0.25">
      <c r="B64" s="44" t="s">
        <v>70</v>
      </c>
      <c r="C64" s="69">
        <f>$C$60*VLOOKUP($H$2,$B$547:$C$549,2,)</f>
        <v>29.54102542300825</v>
      </c>
      <c r="D64" s="69">
        <f>$C$60*VLOOKUP($H$2,$B$547:$C$549,2,)*100/VLOOKUP($C$2,$B$555:$C$597,2,)</f>
        <v>29.54102542300825</v>
      </c>
    </row>
    <row r="517" spans="2:21" x14ac:dyDescent="0.25">
      <c r="B517" s="14" t="s">
        <v>50</v>
      </c>
    </row>
    <row r="520" spans="2:21" x14ac:dyDescent="0.25">
      <c r="B520" s="14" t="s">
        <v>31</v>
      </c>
      <c r="E520" s="33" t="s">
        <v>33</v>
      </c>
      <c r="H520" s="33" t="s">
        <v>34</v>
      </c>
      <c r="J520" s="33" t="s">
        <v>35</v>
      </c>
      <c r="M520" s="33" t="s">
        <v>36</v>
      </c>
      <c r="P520" s="14" t="s">
        <v>38</v>
      </c>
      <c r="Q520" s="33"/>
      <c r="U520" s="14" t="s">
        <v>49</v>
      </c>
    </row>
    <row r="521" spans="2:21" x14ac:dyDescent="0.25">
      <c r="B521" s="34" t="s">
        <v>137</v>
      </c>
      <c r="E521" s="33" t="s">
        <v>15</v>
      </c>
      <c r="H521" s="33">
        <v>1</v>
      </c>
      <c r="J521" s="33" t="s">
        <v>41</v>
      </c>
      <c r="M521" s="33" t="s">
        <v>1</v>
      </c>
      <c r="P521" s="14">
        <v>0</v>
      </c>
      <c r="U521" s="14" t="s">
        <v>10</v>
      </c>
    </row>
    <row r="522" spans="2:21" x14ac:dyDescent="0.25">
      <c r="B522" s="34" t="s">
        <v>18</v>
      </c>
      <c r="E522" s="33" t="s">
        <v>16</v>
      </c>
      <c r="H522" s="33">
        <v>10</v>
      </c>
      <c r="J522" s="33" t="s">
        <v>42</v>
      </c>
      <c r="M522" s="33" t="s">
        <v>2</v>
      </c>
      <c r="P522" s="14">
        <v>1</v>
      </c>
      <c r="U522" s="14" t="s">
        <v>12</v>
      </c>
    </row>
    <row r="523" spans="2:21" x14ac:dyDescent="0.25">
      <c r="B523" s="34" t="s">
        <v>4</v>
      </c>
      <c r="E523" s="33" t="s">
        <v>17</v>
      </c>
      <c r="H523" s="33">
        <v>50</v>
      </c>
      <c r="J523" s="33" t="s">
        <v>43</v>
      </c>
      <c r="M523" s="33" t="s">
        <v>3</v>
      </c>
      <c r="P523" s="14">
        <v>2</v>
      </c>
      <c r="U523" s="14" t="s">
        <v>80</v>
      </c>
    </row>
    <row r="524" spans="2:21" x14ac:dyDescent="0.25">
      <c r="B524" s="34" t="s">
        <v>5</v>
      </c>
      <c r="E524" s="33" t="s">
        <v>0</v>
      </c>
      <c r="H524" s="33">
        <v>100</v>
      </c>
      <c r="P524" s="14">
        <v>3</v>
      </c>
      <c r="U524" s="14" t="s">
        <v>11</v>
      </c>
    </row>
    <row r="525" spans="2:21" x14ac:dyDescent="0.25">
      <c r="B525" s="34" t="s">
        <v>6</v>
      </c>
      <c r="E525" s="14"/>
      <c r="H525" s="33">
        <v>500</v>
      </c>
      <c r="P525" s="14">
        <v>4</v>
      </c>
      <c r="U525" s="14" t="s">
        <v>82</v>
      </c>
    </row>
    <row r="526" spans="2:21" x14ac:dyDescent="0.25">
      <c r="B526" s="34" t="s">
        <v>9</v>
      </c>
      <c r="E526" s="14"/>
      <c r="H526" s="33">
        <v>1000</v>
      </c>
      <c r="P526" s="14">
        <v>5</v>
      </c>
      <c r="U526" s="14" t="s">
        <v>81</v>
      </c>
    </row>
    <row r="527" spans="2:21" x14ac:dyDescent="0.25">
      <c r="B527" s="34" t="s">
        <v>7</v>
      </c>
      <c r="E527" s="14"/>
      <c r="H527" s="33">
        <v>5000</v>
      </c>
      <c r="P527" s="14">
        <v>6</v>
      </c>
      <c r="U527" s="14" t="s">
        <v>13</v>
      </c>
    </row>
    <row r="528" spans="2:21" x14ac:dyDescent="0.25">
      <c r="B528" s="34" t="s">
        <v>8</v>
      </c>
      <c r="E528" s="14"/>
      <c r="H528" s="33">
        <v>10000</v>
      </c>
      <c r="P528" s="14">
        <v>7</v>
      </c>
    </row>
    <row r="529" spans="2:16" x14ac:dyDescent="0.25">
      <c r="B529" s="34" t="s">
        <v>19</v>
      </c>
      <c r="E529" s="14"/>
      <c r="H529" s="33">
        <v>50000</v>
      </c>
      <c r="P529" s="14">
        <v>8</v>
      </c>
    </row>
    <row r="530" spans="2:16" x14ac:dyDescent="0.25">
      <c r="B530" s="34" t="s">
        <v>0</v>
      </c>
      <c r="E530" s="14"/>
      <c r="H530" s="33">
        <v>100000</v>
      </c>
      <c r="P530" s="14">
        <v>9</v>
      </c>
    </row>
    <row r="531" spans="2:16" x14ac:dyDescent="0.25">
      <c r="E531" s="14"/>
      <c r="H531" s="33"/>
      <c r="P531" s="14">
        <v>10</v>
      </c>
    </row>
    <row r="532" spans="2:16" x14ac:dyDescent="0.25">
      <c r="E532" s="14"/>
    </row>
    <row r="533" spans="2:16" x14ac:dyDescent="0.25">
      <c r="E533" s="14"/>
    </row>
    <row r="539" spans="2:16" x14ac:dyDescent="0.25">
      <c r="B539" s="14" t="s">
        <v>78</v>
      </c>
    </row>
    <row r="541" spans="2:16" x14ac:dyDescent="0.25">
      <c r="B541" s="14" t="s">
        <v>83</v>
      </c>
    </row>
    <row r="542" spans="2:16" x14ac:dyDescent="0.25">
      <c r="B542" s="34" t="s">
        <v>76</v>
      </c>
      <c r="E542" s="34"/>
      <c r="F542" s="34"/>
      <c r="G542" s="34"/>
      <c r="H542" s="34"/>
    </row>
    <row r="543" spans="2:16" x14ac:dyDescent="0.25">
      <c r="B543" s="34" t="s">
        <v>75</v>
      </c>
      <c r="E543" s="34"/>
      <c r="F543" s="34"/>
      <c r="G543" s="34"/>
      <c r="H543" s="34"/>
    </row>
    <row r="544" spans="2:16" x14ac:dyDescent="0.25">
      <c r="B544" s="34" t="s">
        <v>77</v>
      </c>
      <c r="C544" s="34"/>
      <c r="D544" s="34"/>
      <c r="E544" s="34"/>
      <c r="F544" s="34"/>
      <c r="G544" s="34"/>
      <c r="H544" s="34"/>
    </row>
    <row r="545" spans="2:8" x14ac:dyDescent="0.25">
      <c r="C545" s="34"/>
      <c r="D545" s="34"/>
      <c r="E545" s="34"/>
      <c r="F545" s="34"/>
      <c r="G545" s="34"/>
      <c r="H545" s="34"/>
    </row>
    <row r="546" spans="2:8" x14ac:dyDescent="0.25">
      <c r="B546" s="56" t="s">
        <v>90</v>
      </c>
      <c r="C546" s="56" t="s">
        <v>79</v>
      </c>
      <c r="D546" s="56"/>
      <c r="E546" s="34"/>
      <c r="H546" s="34"/>
    </row>
    <row r="547" spans="2:8" x14ac:dyDescent="0.25">
      <c r="B547" s="34" t="s">
        <v>76</v>
      </c>
      <c r="C547" s="78">
        <v>1</v>
      </c>
      <c r="D547" s="34"/>
      <c r="E547" s="34"/>
      <c r="F547" s="34"/>
      <c r="G547" s="34"/>
      <c r="H547" s="34"/>
    </row>
    <row r="548" spans="2:8" x14ac:dyDescent="0.25">
      <c r="B548" s="34" t="s">
        <v>75</v>
      </c>
      <c r="C548" s="78">
        <v>1.1355900000000001</v>
      </c>
      <c r="D548" s="78"/>
      <c r="E548" s="34"/>
      <c r="F548" s="34"/>
      <c r="G548" s="34"/>
      <c r="H548" s="34"/>
    </row>
    <row r="549" spans="2:8" x14ac:dyDescent="0.25">
      <c r="B549" s="34" t="s">
        <v>77</v>
      </c>
      <c r="C549" s="55">
        <v>0.89676</v>
      </c>
    </row>
    <row r="552" spans="2:8" x14ac:dyDescent="0.25">
      <c r="B552" s="56" t="s">
        <v>92</v>
      </c>
      <c r="C552" s="72"/>
    </row>
    <row r="553" spans="2:8" x14ac:dyDescent="0.25">
      <c r="B553" s="79" t="s">
        <v>145</v>
      </c>
    </row>
    <row r="555" spans="2:8" x14ac:dyDescent="0.25">
      <c r="B555" s="64" t="s">
        <v>89</v>
      </c>
      <c r="C555" s="63">
        <v>100</v>
      </c>
    </row>
    <row r="556" spans="2:8" x14ac:dyDescent="0.25">
      <c r="B556" s="14" t="s">
        <v>93</v>
      </c>
      <c r="C556" s="14">
        <v>100</v>
      </c>
    </row>
    <row r="557" spans="2:8" x14ac:dyDescent="0.25">
      <c r="B557" s="14" t="s">
        <v>84</v>
      </c>
      <c r="C557" s="14">
        <v>110.8</v>
      </c>
    </row>
    <row r="558" spans="2:8" x14ac:dyDescent="0.25">
      <c r="B558" s="14" t="s">
        <v>94</v>
      </c>
      <c r="C558" s="14">
        <v>49.6</v>
      </c>
    </row>
    <row r="559" spans="2:8" x14ac:dyDescent="0.25">
      <c r="B559" s="14" t="s">
        <v>95</v>
      </c>
      <c r="C559" s="14">
        <v>68.2</v>
      </c>
    </row>
    <row r="560" spans="2:8" x14ac:dyDescent="0.25">
      <c r="B560" s="14" t="s">
        <v>96</v>
      </c>
      <c r="C560" s="14">
        <v>138.9</v>
      </c>
    </row>
    <row r="561" spans="2:3" x14ac:dyDescent="0.25">
      <c r="B561" s="14" t="s">
        <v>97</v>
      </c>
      <c r="C561" s="14">
        <v>104</v>
      </c>
    </row>
    <row r="562" spans="2:3" x14ac:dyDescent="0.25">
      <c r="B562" s="14" t="s">
        <v>88</v>
      </c>
      <c r="C562" s="14">
        <v>78.099999999999994</v>
      </c>
    </row>
    <row r="563" spans="2:3" x14ac:dyDescent="0.25">
      <c r="B563" s="14" t="s">
        <v>98</v>
      </c>
      <c r="C563" s="14">
        <v>127.2</v>
      </c>
    </row>
    <row r="564" spans="2:3" x14ac:dyDescent="0.25">
      <c r="B564" s="14" t="s">
        <v>99</v>
      </c>
      <c r="C564" s="14">
        <v>85.4</v>
      </c>
    </row>
    <row r="565" spans="2:3" x14ac:dyDescent="0.25">
      <c r="B565" s="14" t="s">
        <v>100</v>
      </c>
      <c r="C565" s="14">
        <v>92.5</v>
      </c>
    </row>
    <row r="566" spans="2:3" x14ac:dyDescent="0.25">
      <c r="B566" s="14" t="s">
        <v>86</v>
      </c>
      <c r="C566" s="14">
        <v>109.5</v>
      </c>
    </row>
    <row r="567" spans="2:3" x14ac:dyDescent="0.25">
      <c r="B567" s="14" t="s">
        <v>101</v>
      </c>
      <c r="C567" s="14">
        <v>67.400000000000006</v>
      </c>
    </row>
    <row r="568" spans="2:3" x14ac:dyDescent="0.25">
      <c r="B568" s="14" t="s">
        <v>102</v>
      </c>
      <c r="C568" s="14">
        <v>100.9</v>
      </c>
    </row>
    <row r="569" spans="2:3" x14ac:dyDescent="0.25">
      <c r="B569" s="14" t="s">
        <v>103</v>
      </c>
      <c r="C569" s="14">
        <v>89.5</v>
      </c>
    </row>
    <row r="570" spans="2:3" x14ac:dyDescent="0.25">
      <c r="B570" s="14" t="s">
        <v>104</v>
      </c>
      <c r="C570" s="14">
        <v>72.8</v>
      </c>
    </row>
    <row r="571" spans="2:3" x14ac:dyDescent="0.25">
      <c r="B571" s="14" t="s">
        <v>105</v>
      </c>
      <c r="C571" s="14">
        <v>64.5</v>
      </c>
    </row>
    <row r="572" spans="2:3" x14ac:dyDescent="0.25">
      <c r="B572" s="14" t="s">
        <v>106</v>
      </c>
      <c r="C572" s="14">
        <v>125.9</v>
      </c>
    </row>
    <row r="573" spans="2:3" x14ac:dyDescent="0.25">
      <c r="B573" s="14" t="s">
        <v>107</v>
      </c>
      <c r="C573" s="14">
        <v>63</v>
      </c>
    </row>
    <row r="574" spans="2:3" x14ac:dyDescent="0.25">
      <c r="B574" s="14" t="s">
        <v>108</v>
      </c>
      <c r="C574" s="14">
        <v>81.7</v>
      </c>
    </row>
    <row r="575" spans="2:3" x14ac:dyDescent="0.25">
      <c r="B575" s="14" t="s">
        <v>87</v>
      </c>
      <c r="C575" s="14">
        <v>112.1</v>
      </c>
    </row>
    <row r="576" spans="2:3" x14ac:dyDescent="0.25">
      <c r="B576" s="14" t="s">
        <v>109</v>
      </c>
      <c r="C576" s="14">
        <v>108.6</v>
      </c>
    </row>
    <row r="577" spans="2:3" x14ac:dyDescent="0.25">
      <c r="B577" s="14" t="s">
        <v>110</v>
      </c>
      <c r="C577" s="14">
        <v>56.7</v>
      </c>
    </row>
    <row r="578" spans="2:3" x14ac:dyDescent="0.25">
      <c r="B578" s="14" t="s">
        <v>111</v>
      </c>
      <c r="C578" s="14">
        <v>86</v>
      </c>
    </row>
    <row r="579" spans="2:3" x14ac:dyDescent="0.25">
      <c r="B579" s="14" t="s">
        <v>112</v>
      </c>
      <c r="C579" s="14">
        <v>52.6</v>
      </c>
    </row>
    <row r="580" spans="2:3" x14ac:dyDescent="0.25">
      <c r="B580" s="14" t="s">
        <v>113</v>
      </c>
      <c r="C580" s="14">
        <v>83.8</v>
      </c>
    </row>
    <row r="581" spans="2:3" x14ac:dyDescent="0.25">
      <c r="B581" s="14" t="s">
        <v>114</v>
      </c>
      <c r="C581" s="14">
        <v>69.8</v>
      </c>
    </row>
    <row r="582" spans="2:3" x14ac:dyDescent="0.25">
      <c r="B582" s="14" t="s">
        <v>85</v>
      </c>
      <c r="C582" s="14">
        <v>122.4</v>
      </c>
    </row>
    <row r="583" spans="2:3" x14ac:dyDescent="0.25">
      <c r="B583" s="14" t="s">
        <v>115</v>
      </c>
      <c r="C583" s="14">
        <v>125.5</v>
      </c>
    </row>
    <row r="584" spans="2:3" x14ac:dyDescent="0.25">
      <c r="B584" s="14" t="s">
        <v>116</v>
      </c>
      <c r="C584" s="14">
        <v>116.4</v>
      </c>
    </row>
    <row r="585" spans="2:3" x14ac:dyDescent="0.25">
      <c r="B585" s="14" t="s">
        <v>117</v>
      </c>
      <c r="C585" s="14">
        <v>166.1</v>
      </c>
    </row>
    <row r="586" spans="2:3" x14ac:dyDescent="0.25">
      <c r="B586" s="14" t="s">
        <v>118</v>
      </c>
      <c r="C586" s="32" t="s">
        <v>119</v>
      </c>
    </row>
    <row r="587" spans="2:3" x14ac:dyDescent="0.25">
      <c r="B587" s="14" t="s">
        <v>120</v>
      </c>
      <c r="C587" s="14">
        <v>149.5</v>
      </c>
    </row>
    <row r="588" spans="2:3" x14ac:dyDescent="0.25">
      <c r="B588" s="14" t="s">
        <v>121</v>
      </c>
      <c r="C588" s="14">
        <v>159.9</v>
      </c>
    </row>
    <row r="589" spans="2:3" x14ac:dyDescent="0.25">
      <c r="B589" s="14" t="s">
        <v>122</v>
      </c>
      <c r="C589" s="14">
        <v>55.6</v>
      </c>
    </row>
    <row r="590" spans="2:3" x14ac:dyDescent="0.25">
      <c r="B590" s="14" t="s">
        <v>123</v>
      </c>
      <c r="C590" s="14">
        <v>47.9</v>
      </c>
    </row>
    <row r="591" spans="2:3" x14ac:dyDescent="0.25">
      <c r="B591" s="14" t="s">
        <v>124</v>
      </c>
      <c r="C591" s="14">
        <v>49.8</v>
      </c>
    </row>
    <row r="592" spans="2:3" x14ac:dyDescent="0.25">
      <c r="B592" s="14" t="s">
        <v>125</v>
      </c>
      <c r="C592" s="14">
        <v>51.9</v>
      </c>
    </row>
    <row r="593" spans="2:3" x14ac:dyDescent="0.25">
      <c r="B593" s="14" t="s">
        <v>126</v>
      </c>
      <c r="C593" s="14">
        <v>52.7</v>
      </c>
    </row>
    <row r="594" spans="2:3" x14ac:dyDescent="0.25">
      <c r="B594" s="14" t="s">
        <v>127</v>
      </c>
      <c r="C594" s="14">
        <v>52</v>
      </c>
    </row>
    <row r="595" spans="2:3" x14ac:dyDescent="0.25">
      <c r="B595" s="14" t="s">
        <v>128</v>
      </c>
      <c r="C595" s="14">
        <v>52.1</v>
      </c>
    </row>
    <row r="596" spans="2:3" x14ac:dyDescent="0.25">
      <c r="B596" s="14" t="s">
        <v>129</v>
      </c>
      <c r="C596" s="14">
        <v>114.4</v>
      </c>
    </row>
    <row r="597" spans="2:3" x14ac:dyDescent="0.25">
      <c r="B597" s="14" t="s">
        <v>130</v>
      </c>
      <c r="C597" s="14">
        <v>110.8</v>
      </c>
    </row>
  </sheetData>
  <sheetProtection password="D792" sheet="1" selectLockedCells="1"/>
  <protectedRanges>
    <protectedRange sqref="B2 D2:F3 H2" name="Headings"/>
  </protectedRanges>
  <mergeCells count="9">
    <mergeCell ref="F25:F26"/>
    <mergeCell ref="G25:G26"/>
    <mergeCell ref="B42:G42"/>
    <mergeCell ref="D2:F2"/>
    <mergeCell ref="D3:F3"/>
    <mergeCell ref="B9:G9"/>
    <mergeCell ref="E19:F19"/>
    <mergeCell ref="E20:F20"/>
    <mergeCell ref="B22:G22"/>
  </mergeCells>
  <conditionalFormatting sqref="C6 F6 I10 I14:I18 F16:F18 I23 C34 I27:I31 I39 I43 C52:C53 C59 I59">
    <cfRule type="expression" dxfId="19" priority="10">
      <formula>$H$2="£ Sterling"</formula>
    </cfRule>
  </conditionalFormatting>
  <conditionalFormatting sqref="C6 F6 I10 I14:I18 F16:F18 I23 C34 I27:I31 I39 I43 C52:C53 C59 I59">
    <cfRule type="expression" dxfId="18" priority="9">
      <formula>$H$2="$ US Dollars"</formula>
    </cfRule>
  </conditionalFormatting>
  <conditionalFormatting sqref="C6 F6 I10 I14:I18 F16:F18 I23 C34 I27:I31 I39 I43 C52:C53 C59 I59">
    <cfRule type="expression" dxfId="17" priority="8">
      <formula>$H$2="€ Euros"</formula>
    </cfRule>
  </conditionalFormatting>
  <conditionalFormatting sqref="F15 C36 C39 C51 C60">
    <cfRule type="expression" dxfId="16" priority="5">
      <formula>$H$2="$ US Dollars"</formula>
    </cfRule>
    <cfRule type="expression" dxfId="15" priority="6">
      <formula>$H$2="£ Sterling"</formula>
    </cfRule>
    <cfRule type="expression" dxfId="14" priority="7">
      <formula>$H$2="€ Euros"</formula>
    </cfRule>
  </conditionalFormatting>
  <conditionalFormatting sqref="L12">
    <cfRule type="expression" dxfId="13" priority="4">
      <formula>$H$2="€ Euros"</formula>
    </cfRule>
  </conditionalFormatting>
  <conditionalFormatting sqref="C7">
    <cfRule type="expression" dxfId="12" priority="3">
      <formula>$H$2="£ Sterling"</formula>
    </cfRule>
  </conditionalFormatting>
  <conditionalFormatting sqref="C7">
    <cfRule type="expression" dxfId="11" priority="2">
      <formula>$H$2="$ US Dollars"</formula>
    </cfRule>
  </conditionalFormatting>
  <conditionalFormatting sqref="C7">
    <cfRule type="expression" dxfId="10" priority="1">
      <formula>$H$2="€ Euros"</formula>
    </cfRule>
  </conditionalFormatting>
  <dataValidations count="21">
    <dataValidation allowBlank="1" showInputMessage="1" showErrorMessage="1" prompt="Include any equipment (capital) upgrade costs during lifetime of facility (but not annual maintenance contracts, licenses, etc.)" sqref="C7" xr:uid="{74474753-E0E9-4A41-8396-5FE4783990CD}"/>
    <dataValidation allowBlank="1" showInputMessage="1" showErrorMessage="1" prompt="Other costs are costs of procurement, making a room ready e.g., decorating, wiring, etc._x000a_" sqref="F6" xr:uid="{A2A24EE2-FE97-400C-9D3D-A20F38E857AF}"/>
    <dataValidation allowBlank="1" showInputMessage="1" showErrorMessage="1" prompt="Capital equipment costs include digitisation equipment, furniture, computers, etc." sqref="C6" xr:uid="{FA83731B-4B83-4DBE-9A34-C51235066C6B}"/>
    <dataValidation allowBlank="1" showErrorMessage="1" sqref="B19" xr:uid="{79D8222B-FA78-4C2E-96FD-682F734CEBBF}"/>
    <dataValidation allowBlank="1" showInputMessage="1" showErrorMessage="1" prompt="If applicable, include costs of any upgrade(s) divided over the lifetimeof the digitisation facility e.g., if upgrade cost is €10,000 and lifetime is 5 years, enter €2,000." sqref="C18" xr:uid="{97059E31-3326-4AD3-AC2D-D0D388475084}"/>
    <dataValidation type="list" allowBlank="1" showInputMessage="1" showErrorMessage="1" prompt="Choose currency to use from dropdown list_x000a_" sqref="H2:H3" xr:uid="{8A3DED56-0363-4602-B04C-9C5D310EC022}">
      <formula1>$B$541:$B$544</formula1>
    </dataValidation>
    <dataValidation type="list" allowBlank="1" showInputMessage="1" prompt="Select your institution from the drop-down list, or enter if not listed" sqref="B2:B3" xr:uid="{44DC824C-1A7B-44AA-A558-64B277F24365}">
      <formula1>$U$520:$U$527</formula1>
    </dataValidation>
    <dataValidation type="list" allowBlank="1" showInputMessage="1" showErrorMessage="1" prompt="Choose specimen category" sqref="B27" xr:uid="{52803160-C526-46F4-9479-B77ECD7CFAA7}">
      <formula1>$B$520:$B$530</formula1>
    </dataValidation>
    <dataValidation type="list" errorStyle="information" allowBlank="1" showInputMessage="1" prompt="Choose typical batch size (or enter own value)" sqref="C31" xr:uid="{3F1EE266-6C26-427F-AECD-2C5BB5EDD20C}">
      <formula1>$H$520:$H$530</formula1>
    </dataValidation>
    <dataValidation type="list" allowBlank="1" showInputMessage="1" showErrorMessage="1" prompt="Choose unit of digitisation" sqref="B30" xr:uid="{EC7B444F-9FB6-4B3A-A903-A58CB59DB93E}">
      <formula1>$E$520:$E$524</formula1>
    </dataValidation>
    <dataValidation type="list" allowBlank="1" showInputMessage="1" showErrorMessage="1" prompt="Select number of staff needed for digitisation (additional to number of fixed staff, above)" sqref="C33" xr:uid="{FFCFE4C1-E0E7-4A45-A363-076DB50D54A3}">
      <formula1>$P$520:$P$532</formula1>
    </dataValidation>
    <dataValidation type="list" allowBlank="1" showInputMessage="1" showErrorMessage="1" prompt="Choose type of process" sqref="B29" xr:uid="{F11FC40D-C7CE-481F-B009-4EEB68561F90}">
      <formula1>$M$520:$M$523</formula1>
    </dataValidation>
    <dataValidation type="list" allowBlank="1" showInputMessage="1" showErrorMessage="1" prompt="Choose type of workflow" sqref="B28" xr:uid="{EEB34A3B-3A6A-4920-B3A6-B8870C77A810}">
      <formula1>$J$520:$J$523</formula1>
    </dataValidation>
    <dataValidation allowBlank="1" showInputMessage="1" showErrorMessage="1" prompt="This cell not currently used" sqref="C17" xr:uid="{FFCC3BAD-6FFA-4E16-9208-015833A52229}"/>
    <dataValidation allowBlank="1" showInputMessage="1" showErrorMessage="1" prompt="Enter in minutes. Add up for all persons involved. See Instructions sheet for explanation of the tasks_x000a_" sqref="F27:F31" xr:uid="{075E352F-8309-4EA9-B54C-301F57F75766}"/>
    <dataValidation allowBlank="1" showInputMessage="1" showErrorMessage="1" prompt="Only enter a value here if you do not know the split across the above 5 task clusters" sqref="F34" xr:uid="{9F9BEBE7-9400-459F-ABDF-EFC6B5260DDA}"/>
    <dataValidation allowBlank="1" showInputMessage="1" showErrorMessage="1" prompt="Number of hours in working week (change if necessary)" sqref="C35" xr:uid="{CE8BFE58-BB4B-4CFE-8F75-3A80431516CB}"/>
    <dataValidation allowBlank="1" showInputMessage="1" showErrorMessage="1" prompt="Enter monthly average gross salary for number of staff selected above" sqref="C34" xr:uid="{4B345DDE-B787-472A-AD6C-BB9109C6EF99}"/>
    <dataValidation allowBlank="1" showInputMessage="1" showErrorMessage="1" prompt="Enter room area of your digitisation facility" sqref="C15" xr:uid="{BEF9A0C4-D9BA-4C93-B475-40F172AC3BC8}"/>
    <dataValidation type="decimal" allowBlank="1" showInputMessage="1" showErrorMessage="1" prompt="Enter depreciation period in years (straight line depreciation will be used)" sqref="C14" xr:uid="{A1EA90B1-8947-479C-9DE5-CC7E2322F40C}">
      <formula1>1</formula1>
      <formula2>7</formula2>
    </dataValidation>
    <dataValidation type="decimal" showInputMessage="1" showErrorMessage="1" prompt="Enter value between 0 and 20 for number of fixed staff supporting the facility i.e., even if no digitisation is occurring. Part FTE allowed." sqref="C16" xr:uid="{9EBC7542-01AB-48A9-9C97-F48547F6721D}">
      <formula1>0</formula1>
      <formula2>20</formula2>
    </dataValidation>
  </dataValidations>
  <hyperlinks>
    <hyperlink ref="B553" r:id="rId1" xr:uid="{CA918246-4E67-45DC-A689-F61D071A84DD}"/>
  </hyperlinks>
  <pageMargins left="0.7" right="0.7" top="0.75" bottom="0.75" header="0.3" footer="0.3"/>
  <pageSetup paperSize="9" orientation="portrait" horizontalDpi="4294967293" verticalDpi="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D4D80-8105-4380-991B-FD42FE0E9171}">
  <dimension ref="A2:AV597"/>
  <sheetViews>
    <sheetView tabSelected="1" workbookViewId="0">
      <selection activeCell="B9" sqref="B9:G9"/>
    </sheetView>
  </sheetViews>
  <sheetFormatPr defaultColWidth="8.7109375" defaultRowHeight="15" x14ac:dyDescent="0.25"/>
  <cols>
    <col min="1" max="1" width="1.5703125" style="14" customWidth="1"/>
    <col min="2" max="2" width="55.5703125" style="14" bestFit="1" customWidth="1"/>
    <col min="3" max="3" width="10.28515625" style="14" bestFit="1" customWidth="1"/>
    <col min="4" max="4" width="8.7109375" style="14"/>
    <col min="5" max="5" width="29.85546875" style="32" customWidth="1"/>
    <col min="6" max="6" width="10.28515625" style="14" bestFit="1" customWidth="1"/>
    <col min="7" max="7" width="8.7109375" style="14"/>
    <col min="8" max="8" width="24.85546875" style="14" bestFit="1" customWidth="1"/>
    <col min="9" max="9" width="11.42578125" style="14" bestFit="1" customWidth="1"/>
    <col min="10" max="10" width="1.140625" style="14" customWidth="1"/>
    <col min="11" max="16384" width="8.7109375" style="14"/>
  </cols>
  <sheetData>
    <row r="2" spans="1:14" ht="42.6" customHeight="1" x14ac:dyDescent="0.25">
      <c r="B2" s="1" t="s">
        <v>146</v>
      </c>
      <c r="C2" s="57" t="str">
        <f>_xlfn.SWITCH($B$2, "APM","Belgium","LUOMUS","Finland","MNHN","France","Naturalis","Netherlands","NHMUK","UK","RBGK","UK","UTARTU","Estonia","- -")</f>
        <v>- -</v>
      </c>
      <c r="D2" s="85" t="s">
        <v>147</v>
      </c>
      <c r="E2" s="86"/>
      <c r="F2" s="87"/>
      <c r="H2" s="80" t="s">
        <v>76</v>
      </c>
    </row>
    <row r="3" spans="1:14" ht="42.6" customHeight="1" x14ac:dyDescent="0.25">
      <c r="C3" s="57"/>
      <c r="D3" s="88"/>
      <c r="E3" s="89"/>
      <c r="F3" s="90"/>
    </row>
    <row r="5" spans="1:14" x14ac:dyDescent="0.25">
      <c r="A5" s="9"/>
      <c r="B5" s="15" t="s">
        <v>30</v>
      </c>
      <c r="C5" s="16"/>
      <c r="D5" s="16"/>
      <c r="E5" s="17"/>
      <c r="F5" s="16"/>
      <c r="G5" s="16"/>
      <c r="H5" s="16"/>
      <c r="I5" s="18"/>
    </row>
    <row r="6" spans="1:14" ht="14.45" customHeight="1" x14ac:dyDescent="0.25">
      <c r="A6" s="48"/>
      <c r="B6" s="36" t="s">
        <v>22</v>
      </c>
      <c r="C6" s="2">
        <v>0</v>
      </c>
      <c r="D6" s="20"/>
      <c r="E6" s="49" t="s">
        <v>54</v>
      </c>
      <c r="F6" s="2"/>
      <c r="G6" s="20"/>
      <c r="H6" s="20"/>
      <c r="I6" s="22"/>
    </row>
    <row r="7" spans="1:14" ht="14.45" customHeight="1" x14ac:dyDescent="0.25">
      <c r="A7" s="9"/>
      <c r="B7" s="36" t="s">
        <v>140</v>
      </c>
      <c r="C7" s="2"/>
      <c r="D7" s="20"/>
      <c r="E7" s="20"/>
      <c r="F7" s="20"/>
      <c r="G7" s="20"/>
      <c r="H7" s="20"/>
      <c r="I7" s="22"/>
    </row>
    <row r="8" spans="1:14" ht="14.45" customHeight="1" x14ac:dyDescent="0.25">
      <c r="A8" s="9"/>
      <c r="B8" s="53" t="s">
        <v>144</v>
      </c>
      <c r="C8" s="20"/>
      <c r="D8" s="20"/>
      <c r="E8" s="20"/>
      <c r="F8" s="20"/>
      <c r="G8" s="20"/>
      <c r="H8" s="20"/>
      <c r="I8" s="22"/>
    </row>
    <row r="9" spans="1:14" ht="45" customHeight="1" x14ac:dyDescent="0.25">
      <c r="A9" s="9"/>
      <c r="B9" s="83"/>
      <c r="C9" s="84"/>
      <c r="D9" s="84"/>
      <c r="E9" s="84"/>
      <c r="F9" s="84"/>
      <c r="G9" s="84"/>
      <c r="H9" s="29"/>
      <c r="I9" s="35"/>
      <c r="K9" s="70" t="s">
        <v>76</v>
      </c>
      <c r="L9" s="71" t="s">
        <v>91</v>
      </c>
      <c r="M9" s="65"/>
      <c r="N9" s="65"/>
    </row>
    <row r="10" spans="1:14" ht="14.45" customHeight="1" x14ac:dyDescent="0.25">
      <c r="A10" s="9"/>
      <c r="B10" s="10"/>
      <c r="C10" s="11"/>
      <c r="D10" s="11"/>
      <c r="E10" s="11"/>
      <c r="F10" s="11"/>
      <c r="G10" s="12"/>
      <c r="H10" s="46" t="s">
        <v>29</v>
      </c>
      <c r="I10" s="58">
        <f>C6+F6</f>
        <v>0</v>
      </c>
      <c r="K10" s="68">
        <f>$I$10*VLOOKUP($H$2,$B$547:$C$549,2,)</f>
        <v>0</v>
      </c>
      <c r="L10" s="68">
        <f>$I$10*VLOOKUP($H$2,$B$547:$C$549,2,)*100/VLOOKUP($C$2,$B$555:$C$597,2,)</f>
        <v>0</v>
      </c>
    </row>
    <row r="11" spans="1:14" ht="14.45" customHeight="1" x14ac:dyDescent="0.25">
      <c r="A11" s="9"/>
      <c r="B11" s="9"/>
      <c r="C11" s="9"/>
      <c r="D11" s="9"/>
      <c r="E11" s="9"/>
      <c r="F11" s="9"/>
      <c r="G11" s="9"/>
      <c r="H11" s="47"/>
    </row>
    <row r="12" spans="1:14" ht="14.45" customHeight="1" x14ac:dyDescent="0.25">
      <c r="B12" s="15" t="s">
        <v>27</v>
      </c>
      <c r="C12" s="16"/>
      <c r="D12" s="16"/>
      <c r="E12" s="16"/>
      <c r="F12" s="16"/>
      <c r="G12" s="16"/>
      <c r="H12" s="16"/>
      <c r="I12" s="18"/>
    </row>
    <row r="13" spans="1:14" ht="14.45" customHeight="1" x14ac:dyDescent="0.25">
      <c r="B13" s="19"/>
      <c r="C13" s="20"/>
      <c r="D13" s="20"/>
      <c r="E13" s="20"/>
      <c r="F13" s="20"/>
      <c r="G13" s="20"/>
      <c r="H13" s="29" t="s">
        <v>26</v>
      </c>
      <c r="I13" s="22"/>
    </row>
    <row r="14" spans="1:14" x14ac:dyDescent="0.25">
      <c r="A14" s="44"/>
      <c r="B14" s="36" t="s">
        <v>133</v>
      </c>
      <c r="C14" s="2">
        <v>7</v>
      </c>
      <c r="D14" s="20"/>
      <c r="E14" s="21"/>
      <c r="F14" s="20"/>
      <c r="G14" s="20"/>
      <c r="H14" s="20" t="s">
        <v>25</v>
      </c>
      <c r="I14" s="24">
        <f>(C6+C7)/C14</f>
        <v>0</v>
      </c>
    </row>
    <row r="15" spans="1:14" ht="17.25" x14ac:dyDescent="0.25">
      <c r="B15" s="36" t="s">
        <v>20</v>
      </c>
      <c r="C15" s="3">
        <v>12</v>
      </c>
      <c r="D15" s="20"/>
      <c r="E15" s="21" t="s">
        <v>21</v>
      </c>
      <c r="F15" s="59">
        <v>0</v>
      </c>
      <c r="G15" s="20"/>
      <c r="H15" s="20" t="s">
        <v>60</v>
      </c>
      <c r="I15" s="24">
        <f>C15*F15*12</f>
        <v>0</v>
      </c>
    </row>
    <row r="16" spans="1:14" x14ac:dyDescent="0.25">
      <c r="B16" s="36" t="s">
        <v>142</v>
      </c>
      <c r="C16" s="4">
        <v>0</v>
      </c>
      <c r="D16" s="20"/>
      <c r="E16" s="21" t="s">
        <v>141</v>
      </c>
      <c r="F16" s="2">
        <v>4635</v>
      </c>
      <c r="G16" s="20"/>
      <c r="H16" s="20" t="s">
        <v>61</v>
      </c>
      <c r="I16" s="24">
        <f>C16*F16*12</f>
        <v>0</v>
      </c>
    </row>
    <row r="17" spans="1:48" x14ac:dyDescent="0.25">
      <c r="B17" s="36"/>
      <c r="C17" s="76"/>
      <c r="D17" s="20"/>
      <c r="E17" s="21" t="s">
        <v>51</v>
      </c>
      <c r="F17" s="2">
        <v>1150</v>
      </c>
      <c r="G17" s="20"/>
      <c r="H17" s="20" t="s">
        <v>62</v>
      </c>
      <c r="I17" s="24">
        <f>F17*12</f>
        <v>13800</v>
      </c>
    </row>
    <row r="18" spans="1:48" x14ac:dyDescent="0.25">
      <c r="B18" s="36"/>
      <c r="C18" s="77"/>
      <c r="D18" s="20"/>
      <c r="E18" s="21" t="s">
        <v>53</v>
      </c>
      <c r="F18" s="2"/>
      <c r="G18" s="20"/>
      <c r="H18" s="20" t="s">
        <v>52</v>
      </c>
      <c r="I18" s="24">
        <f>F18*12</f>
        <v>0</v>
      </c>
    </row>
    <row r="19" spans="1:48" x14ac:dyDescent="0.25">
      <c r="B19" s="75"/>
      <c r="C19" s="73"/>
      <c r="D19" s="42"/>
      <c r="E19" s="91" t="s">
        <v>138</v>
      </c>
      <c r="F19" s="91"/>
      <c r="G19" s="20"/>
      <c r="H19" s="20"/>
      <c r="I19" s="22"/>
    </row>
    <row r="20" spans="1:48" x14ac:dyDescent="0.25">
      <c r="B20" s="74"/>
      <c r="C20" s="20"/>
      <c r="D20" s="20"/>
      <c r="E20" s="91" t="s">
        <v>139</v>
      </c>
      <c r="F20" s="91"/>
      <c r="G20" s="20"/>
      <c r="H20" s="26"/>
      <c r="I20" s="22"/>
      <c r="AV20" s="33"/>
    </row>
    <row r="21" spans="1:48" x14ac:dyDescent="0.25">
      <c r="B21" s="53" t="s">
        <v>143</v>
      </c>
      <c r="C21" s="20"/>
      <c r="D21" s="20"/>
      <c r="E21" s="21"/>
      <c r="F21" s="20"/>
      <c r="G21" s="20"/>
      <c r="H21" s="26"/>
      <c r="I21" s="22"/>
      <c r="AV21" s="33"/>
    </row>
    <row r="22" spans="1:48" ht="45" customHeight="1" x14ac:dyDescent="0.25">
      <c r="A22" s="9"/>
      <c r="B22" s="83"/>
      <c r="C22" s="84"/>
      <c r="D22" s="84"/>
      <c r="E22" s="84"/>
      <c r="F22" s="84"/>
      <c r="G22" s="84"/>
      <c r="H22" s="29"/>
      <c r="I22" s="35"/>
      <c r="K22" s="70" t="s">
        <v>76</v>
      </c>
      <c r="L22" s="71" t="s">
        <v>91</v>
      </c>
    </row>
    <row r="23" spans="1:48" ht="14.45" customHeight="1" x14ac:dyDescent="0.25">
      <c r="A23" s="9"/>
      <c r="B23" s="10"/>
      <c r="C23" s="11"/>
      <c r="D23" s="11"/>
      <c r="E23" s="11"/>
      <c r="F23" s="11"/>
      <c r="G23" s="12"/>
      <c r="H23" s="43" t="s">
        <v>24</v>
      </c>
      <c r="I23" s="58">
        <f>SUM(I14, I15, I16, I17, I18)</f>
        <v>13800</v>
      </c>
      <c r="K23" s="68">
        <f>$I$23*VLOOKUP($H$2,$B$547:$C$549,2,)</f>
        <v>13800</v>
      </c>
      <c r="L23" s="68">
        <f>$I$23*VLOOKUP($H$2,$B$547:$C$549,2,)*100/VLOOKUP($C$2,$B$555:$C$597,2,)</f>
        <v>13800</v>
      </c>
    </row>
    <row r="24" spans="1:48" x14ac:dyDescent="0.25">
      <c r="H24" s="44"/>
      <c r="AV24" s="33"/>
    </row>
    <row r="25" spans="1:48" ht="15.95" customHeight="1" x14ac:dyDescent="0.25">
      <c r="B25" s="15" t="s">
        <v>28</v>
      </c>
      <c r="C25" s="16"/>
      <c r="D25" s="16"/>
      <c r="E25" s="17"/>
      <c r="F25" s="81" t="s">
        <v>131</v>
      </c>
      <c r="G25" s="81" t="s">
        <v>40</v>
      </c>
      <c r="H25" s="16"/>
      <c r="I25" s="18"/>
      <c r="AQ25" s="33"/>
      <c r="AR25" s="33"/>
      <c r="AS25" s="33"/>
      <c r="AT25" s="33"/>
      <c r="AU25" s="33"/>
      <c r="AV25" s="33"/>
    </row>
    <row r="26" spans="1:48" ht="15.95" customHeight="1" x14ac:dyDescent="0.25">
      <c r="B26" s="19" t="s">
        <v>37</v>
      </c>
      <c r="C26" s="20"/>
      <c r="D26" s="29" t="s">
        <v>14</v>
      </c>
      <c r="E26" s="21"/>
      <c r="F26" s="82"/>
      <c r="G26" s="82"/>
      <c r="H26" s="45" t="s">
        <v>32</v>
      </c>
      <c r="I26" s="22"/>
      <c r="AU26" s="33"/>
      <c r="AV26" s="33"/>
    </row>
    <row r="27" spans="1:48" x14ac:dyDescent="0.25">
      <c r="B27" s="5" t="s">
        <v>0</v>
      </c>
      <c r="C27" s="42"/>
      <c r="D27" s="42" t="s">
        <v>44</v>
      </c>
      <c r="E27" s="21"/>
      <c r="F27" s="54"/>
      <c r="G27" s="41">
        <f>F27*C31/60</f>
        <v>0</v>
      </c>
      <c r="H27" s="39"/>
      <c r="I27" s="24">
        <f>G27*C36*C32*12</f>
        <v>0</v>
      </c>
      <c r="AV27" s="33"/>
    </row>
    <row r="28" spans="1:48" ht="15" customHeight="1" x14ac:dyDescent="0.25">
      <c r="B28" s="5" t="s">
        <v>41</v>
      </c>
      <c r="C28" s="42"/>
      <c r="D28" s="42" t="s">
        <v>73</v>
      </c>
      <c r="E28" s="21"/>
      <c r="F28" s="54"/>
      <c r="G28" s="41">
        <f>F28*C31/60</f>
        <v>0</v>
      </c>
      <c r="H28" s="39"/>
      <c r="I28" s="24">
        <f>G28*C36*C32*12</f>
        <v>0</v>
      </c>
    </row>
    <row r="29" spans="1:48" x14ac:dyDescent="0.25">
      <c r="B29" s="5" t="s">
        <v>1</v>
      </c>
      <c r="C29" s="20"/>
      <c r="D29" s="42" t="s">
        <v>45</v>
      </c>
      <c r="E29" s="21"/>
      <c r="F29" s="54"/>
      <c r="G29" s="41">
        <f>F29*C31/60</f>
        <v>0</v>
      </c>
      <c r="H29" s="39"/>
      <c r="I29" s="24">
        <f>G29*C36*C32*12</f>
        <v>0</v>
      </c>
    </row>
    <row r="30" spans="1:48" x14ac:dyDescent="0.25">
      <c r="B30" s="5" t="s">
        <v>0</v>
      </c>
      <c r="C30" s="21"/>
      <c r="D30" s="42" t="s">
        <v>74</v>
      </c>
      <c r="E30" s="21"/>
      <c r="F30" s="54"/>
      <c r="G30" s="41">
        <f>F30*C31/60</f>
        <v>0</v>
      </c>
      <c r="H30" s="39"/>
      <c r="I30" s="24">
        <f>G30*C36*C32*12</f>
        <v>0</v>
      </c>
    </row>
    <row r="31" spans="1:48" x14ac:dyDescent="0.25">
      <c r="B31" s="23" t="s">
        <v>136</v>
      </c>
      <c r="C31" s="7">
        <v>1</v>
      </c>
      <c r="D31" s="42" t="s">
        <v>46</v>
      </c>
      <c r="E31" s="21"/>
      <c r="F31" s="54"/>
      <c r="G31" s="41">
        <f>F31*C31/60</f>
        <v>0</v>
      </c>
      <c r="H31" s="39"/>
      <c r="I31" s="24">
        <f>G31*C36*C32*12</f>
        <v>0</v>
      </c>
    </row>
    <row r="32" spans="1:48" x14ac:dyDescent="0.25">
      <c r="B32" s="23" t="s">
        <v>48</v>
      </c>
      <c r="C32" s="6">
        <v>1000</v>
      </c>
      <c r="D32" s="42"/>
      <c r="E32" s="21"/>
      <c r="F32" s="20"/>
      <c r="G32" s="20"/>
      <c r="H32" s="39"/>
      <c r="I32" s="22"/>
    </row>
    <row r="33" spans="1:12" x14ac:dyDescent="0.25">
      <c r="B33" s="23" t="s">
        <v>58</v>
      </c>
      <c r="C33" s="7">
        <v>1</v>
      </c>
      <c r="D33" s="20"/>
      <c r="E33" s="42" t="s">
        <v>47</v>
      </c>
      <c r="F33" s="20"/>
      <c r="G33" s="20"/>
      <c r="H33" s="20"/>
      <c r="I33" s="22"/>
    </row>
    <row r="34" spans="1:12" x14ac:dyDescent="0.25">
      <c r="B34" s="23" t="s">
        <v>23</v>
      </c>
      <c r="C34" s="60">
        <v>4635</v>
      </c>
      <c r="D34" s="21"/>
      <c r="E34" s="21" t="s">
        <v>57</v>
      </c>
      <c r="F34" s="8">
        <v>9</v>
      </c>
      <c r="G34" s="20"/>
      <c r="H34" s="20"/>
      <c r="I34" s="22"/>
    </row>
    <row r="35" spans="1:12" x14ac:dyDescent="0.25">
      <c r="B35" s="23" t="s">
        <v>39</v>
      </c>
      <c r="C35" s="7">
        <v>38</v>
      </c>
      <c r="D35" s="20"/>
      <c r="E35" s="21"/>
      <c r="F35" s="20"/>
      <c r="G35" s="20"/>
      <c r="H35" s="20"/>
      <c r="I35" s="22"/>
    </row>
    <row r="36" spans="1:12" x14ac:dyDescent="0.25">
      <c r="B36" s="36" t="s">
        <v>63</v>
      </c>
      <c r="C36" s="61">
        <f>C33*C34/4.333/C35</f>
        <v>28.149938659249091</v>
      </c>
      <c r="D36" s="20"/>
      <c r="E36" s="21" t="s">
        <v>132</v>
      </c>
      <c r="F36" s="37">
        <f>IF(F34=0,SUM(F27:F31),F34)</f>
        <v>9</v>
      </c>
      <c r="G36" s="38">
        <f>IF(F34=0,F36*C31/60,F34*C31/60)</f>
        <v>0.15</v>
      </c>
      <c r="H36" s="20"/>
      <c r="I36" s="22"/>
    </row>
    <row r="37" spans="1:12" x14ac:dyDescent="0.25">
      <c r="B37" s="36"/>
      <c r="C37" s="39"/>
      <c r="D37" s="20"/>
      <c r="E37" s="40"/>
      <c r="F37" s="26"/>
      <c r="G37" s="26"/>
      <c r="H37" s="20"/>
      <c r="I37" s="22"/>
    </row>
    <row r="38" spans="1:12" x14ac:dyDescent="0.25">
      <c r="B38" s="23" t="s">
        <v>134</v>
      </c>
      <c r="C38" s="39"/>
      <c r="D38" s="20"/>
      <c r="E38" s="40"/>
      <c r="F38" s="26"/>
      <c r="G38" s="26"/>
      <c r="H38" s="20"/>
      <c r="I38" s="22"/>
    </row>
    <row r="39" spans="1:12" x14ac:dyDescent="0.25">
      <c r="B39" s="23" t="s">
        <v>135</v>
      </c>
      <c r="C39" s="62"/>
      <c r="D39" s="20"/>
      <c r="E39" s="21"/>
      <c r="F39" s="20"/>
      <c r="G39" s="41"/>
      <c r="H39" s="20" t="s">
        <v>56</v>
      </c>
      <c r="I39" s="24">
        <f>C39*C32*12</f>
        <v>0</v>
      </c>
    </row>
    <row r="40" spans="1:12" ht="14.45" customHeight="1" x14ac:dyDescent="0.25">
      <c r="B40" s="23"/>
      <c r="C40" s="39"/>
      <c r="D40" s="20"/>
      <c r="E40" s="21"/>
      <c r="F40" s="20"/>
      <c r="G40" s="41"/>
      <c r="H40" s="20"/>
      <c r="I40" s="35"/>
    </row>
    <row r="41" spans="1:12" ht="14.45" customHeight="1" x14ac:dyDescent="0.25">
      <c r="B41" s="50" t="s">
        <v>72</v>
      </c>
      <c r="C41" s="51"/>
      <c r="D41" s="51"/>
      <c r="E41" s="51"/>
      <c r="F41" s="51"/>
      <c r="G41" s="52"/>
      <c r="H41" s="20"/>
      <c r="I41" s="35"/>
    </row>
    <row r="42" spans="1:12" ht="45" customHeight="1" x14ac:dyDescent="0.25">
      <c r="A42" s="9"/>
      <c r="B42" s="83" t="s">
        <v>167</v>
      </c>
      <c r="C42" s="84"/>
      <c r="D42" s="84"/>
      <c r="E42" s="84"/>
      <c r="F42" s="84"/>
      <c r="G42" s="84"/>
      <c r="H42" s="29"/>
      <c r="I42" s="35"/>
      <c r="K42" s="70" t="s">
        <v>76</v>
      </c>
      <c r="L42" s="71" t="s">
        <v>91</v>
      </c>
    </row>
    <row r="43" spans="1:12" x14ac:dyDescent="0.25">
      <c r="A43" s="9"/>
      <c r="B43" s="10"/>
      <c r="C43" s="11"/>
      <c r="D43" s="11"/>
      <c r="E43" s="11"/>
      <c r="F43" s="11"/>
      <c r="G43" s="12"/>
      <c r="H43" s="13" t="s">
        <v>55</v>
      </c>
      <c r="I43" s="58">
        <f>IF(F34=0, SUM(I27:I31, I39), (G36*C36*C32*12)+I39)</f>
        <v>50669.889586648365</v>
      </c>
      <c r="K43" s="68">
        <f>$I$43*VLOOKUP($H$2,$B$547:$C$549,2,)</f>
        <v>50669.889586648365</v>
      </c>
      <c r="L43" s="68">
        <f>$I$43*VLOOKUP($H$2,$B$547:$C$549,2,)*100/VLOOKUP($C$2,$B$555:$C$597,2,)</f>
        <v>50669.889586648365</v>
      </c>
    </row>
    <row r="49" spans="2:12" x14ac:dyDescent="0.25">
      <c r="B49" s="15" t="s">
        <v>66</v>
      </c>
      <c r="C49" s="16"/>
      <c r="D49" s="16"/>
      <c r="E49" s="17"/>
      <c r="F49" s="16"/>
      <c r="G49" s="16"/>
      <c r="H49" s="16"/>
      <c r="I49" s="18"/>
    </row>
    <row r="50" spans="2:12" x14ac:dyDescent="0.25">
      <c r="B50" s="19"/>
      <c r="C50" s="20"/>
      <c r="D50" s="20"/>
      <c r="E50" s="21"/>
      <c r="F50" s="20"/>
      <c r="G50" s="20"/>
      <c r="H50" s="20"/>
      <c r="I50" s="22"/>
    </row>
    <row r="51" spans="2:12" x14ac:dyDescent="0.25">
      <c r="B51" s="19" t="s">
        <v>64</v>
      </c>
      <c r="C51" s="24">
        <f>C36+(C16*F16*12/52/C35)</f>
        <v>28.149938659249091</v>
      </c>
      <c r="D51" s="20"/>
      <c r="E51" s="21"/>
      <c r="F51" s="20"/>
      <c r="G51" s="20"/>
      <c r="H51" s="20"/>
      <c r="I51" s="22"/>
    </row>
    <row r="52" spans="2:12" x14ac:dyDescent="0.25">
      <c r="B52" s="19" t="s">
        <v>65</v>
      </c>
      <c r="C52" s="24">
        <f>I23</f>
        <v>13800</v>
      </c>
      <c r="D52" s="20"/>
      <c r="E52" s="21"/>
      <c r="F52" s="20"/>
      <c r="G52" s="20"/>
      <c r="H52" s="20"/>
      <c r="I52" s="22"/>
    </row>
    <row r="53" spans="2:12" x14ac:dyDescent="0.25">
      <c r="B53" s="23" t="s">
        <v>67</v>
      </c>
      <c r="C53" s="24">
        <f>G36*C36+C39</f>
        <v>4.2224907988873639</v>
      </c>
      <c r="D53" s="20"/>
      <c r="E53" s="20"/>
      <c r="F53" s="20"/>
      <c r="G53" s="20"/>
      <c r="H53" s="20"/>
      <c r="I53" s="22"/>
    </row>
    <row r="54" spans="2:12" x14ac:dyDescent="0.25">
      <c r="B54" s="19"/>
      <c r="C54" s="20"/>
      <c r="D54" s="20"/>
      <c r="E54" s="21"/>
      <c r="F54" s="20"/>
      <c r="G54" s="20"/>
      <c r="H54" s="20"/>
      <c r="I54" s="22"/>
    </row>
    <row r="55" spans="2:12" x14ac:dyDescent="0.25">
      <c r="B55" s="19" t="s">
        <v>68</v>
      </c>
      <c r="C55" s="24">
        <f>C32*12</f>
        <v>12000</v>
      </c>
      <c r="D55" s="20"/>
      <c r="E55" s="21"/>
      <c r="F55" s="20"/>
      <c r="G55" s="20"/>
      <c r="H55" s="20"/>
      <c r="I55" s="22"/>
    </row>
    <row r="56" spans="2:12" x14ac:dyDescent="0.25">
      <c r="B56" s="19" t="s">
        <v>69</v>
      </c>
      <c r="C56" s="24">
        <f>C55*C31</f>
        <v>12000</v>
      </c>
      <c r="D56" s="20"/>
      <c r="E56" s="21"/>
      <c r="F56" s="20"/>
      <c r="G56" s="20"/>
      <c r="H56" s="20"/>
      <c r="I56" s="22"/>
    </row>
    <row r="57" spans="2:12" x14ac:dyDescent="0.25">
      <c r="B57" s="19"/>
      <c r="C57" s="25"/>
      <c r="D57" s="20"/>
      <c r="E57" s="21"/>
      <c r="F57" s="20"/>
      <c r="G57" s="20"/>
      <c r="H57" s="20"/>
      <c r="I57" s="22"/>
      <c r="K57" s="70" t="s">
        <v>76</v>
      </c>
      <c r="L57" s="71" t="s">
        <v>91</v>
      </c>
    </row>
    <row r="58" spans="2:12" x14ac:dyDescent="0.25">
      <c r="B58" s="19"/>
      <c r="C58" s="20"/>
      <c r="D58" s="20"/>
      <c r="E58" s="21"/>
      <c r="F58" s="20"/>
      <c r="G58" s="20"/>
      <c r="H58" s="26"/>
      <c r="I58" s="27"/>
    </row>
    <row r="59" spans="2:12" x14ac:dyDescent="0.25">
      <c r="B59" s="28" t="s">
        <v>71</v>
      </c>
      <c r="C59" s="58">
        <f>C53+(C52/C55)</f>
        <v>5.3724907988873642</v>
      </c>
      <c r="D59" s="20"/>
      <c r="E59" s="21"/>
      <c r="F59" s="20"/>
      <c r="G59" s="20"/>
      <c r="H59" s="29" t="s">
        <v>59</v>
      </c>
      <c r="I59" s="58">
        <f>C53*C55+C52</f>
        <v>64469.889586648365</v>
      </c>
      <c r="K59" s="68">
        <f>$I$59*VLOOKUP($H$2,$B$547:$C$549,2,)</f>
        <v>64469.889586648365</v>
      </c>
      <c r="L59" s="68">
        <f>$I$59*VLOOKUP($H$2,$B$547:$C$549,2,)*100/VLOOKUP($C$2,$B$555:$C$597,2,)</f>
        <v>64469.889586648365</v>
      </c>
    </row>
    <row r="60" spans="2:12" x14ac:dyDescent="0.25">
      <c r="B60" s="30" t="s">
        <v>70</v>
      </c>
      <c r="C60" s="58">
        <f>C59/C31</f>
        <v>5.3724907988873642</v>
      </c>
      <c r="D60" s="12"/>
      <c r="E60" s="31"/>
      <c r="F60" s="12"/>
      <c r="G60" s="12"/>
      <c r="H60" s="12"/>
      <c r="I60" s="27"/>
    </row>
    <row r="62" spans="2:12" x14ac:dyDescent="0.25">
      <c r="C62" s="66" t="s">
        <v>76</v>
      </c>
      <c r="D62" s="67" t="s">
        <v>91</v>
      </c>
    </row>
    <row r="63" spans="2:12" x14ac:dyDescent="0.25">
      <c r="B63" s="44" t="s">
        <v>71</v>
      </c>
      <c r="C63" s="68">
        <f>$C$59*VLOOKUP($H$2,$B$547:$C$549,2,)</f>
        <v>5.3724907988873642</v>
      </c>
      <c r="D63" s="68">
        <f>$C$59*VLOOKUP($H$2,$B$547:$C$549,2,)*100/VLOOKUP($C$2,$B$555:$C$597,2,)</f>
        <v>5.3724907988873642</v>
      </c>
    </row>
    <row r="64" spans="2:12" x14ac:dyDescent="0.25">
      <c r="B64" s="44" t="s">
        <v>70</v>
      </c>
      <c r="C64" s="69">
        <f>$C$60*VLOOKUP($H$2,$B$547:$C$549,2,)</f>
        <v>5.3724907988873642</v>
      </c>
      <c r="D64" s="69">
        <f>$C$60*VLOOKUP($H$2,$B$547:$C$549,2,)*100/VLOOKUP($C$2,$B$555:$C$597,2,)</f>
        <v>5.3724907988873642</v>
      </c>
    </row>
    <row r="517" spans="2:21" x14ac:dyDescent="0.25">
      <c r="B517" s="14" t="s">
        <v>50</v>
      </c>
    </row>
    <row r="520" spans="2:21" x14ac:dyDescent="0.25">
      <c r="B520" s="14" t="s">
        <v>31</v>
      </c>
      <c r="E520" s="33" t="s">
        <v>33</v>
      </c>
      <c r="H520" s="33" t="s">
        <v>34</v>
      </c>
      <c r="J520" s="33" t="s">
        <v>35</v>
      </c>
      <c r="M520" s="33" t="s">
        <v>36</v>
      </c>
      <c r="P520" s="14" t="s">
        <v>38</v>
      </c>
      <c r="Q520" s="33"/>
      <c r="U520" s="14" t="s">
        <v>49</v>
      </c>
    </row>
    <row r="521" spans="2:21" x14ac:dyDescent="0.25">
      <c r="B521" s="34" t="s">
        <v>137</v>
      </c>
      <c r="E521" s="33" t="s">
        <v>15</v>
      </c>
      <c r="H521" s="33">
        <v>1</v>
      </c>
      <c r="J521" s="33" t="s">
        <v>41</v>
      </c>
      <c r="M521" s="33" t="s">
        <v>1</v>
      </c>
      <c r="P521" s="14">
        <v>0</v>
      </c>
      <c r="U521" s="14" t="s">
        <v>10</v>
      </c>
    </row>
    <row r="522" spans="2:21" x14ac:dyDescent="0.25">
      <c r="B522" s="34" t="s">
        <v>18</v>
      </c>
      <c r="E522" s="33" t="s">
        <v>16</v>
      </c>
      <c r="H522" s="33">
        <v>10</v>
      </c>
      <c r="J522" s="33" t="s">
        <v>42</v>
      </c>
      <c r="M522" s="33" t="s">
        <v>2</v>
      </c>
      <c r="P522" s="14">
        <v>1</v>
      </c>
      <c r="U522" s="14" t="s">
        <v>12</v>
      </c>
    </row>
    <row r="523" spans="2:21" x14ac:dyDescent="0.25">
      <c r="B523" s="34" t="s">
        <v>4</v>
      </c>
      <c r="E523" s="33" t="s">
        <v>17</v>
      </c>
      <c r="H523" s="33">
        <v>50</v>
      </c>
      <c r="J523" s="33" t="s">
        <v>43</v>
      </c>
      <c r="M523" s="33" t="s">
        <v>3</v>
      </c>
      <c r="P523" s="14">
        <v>2</v>
      </c>
      <c r="U523" s="14" t="s">
        <v>80</v>
      </c>
    </row>
    <row r="524" spans="2:21" x14ac:dyDescent="0.25">
      <c r="B524" s="34" t="s">
        <v>5</v>
      </c>
      <c r="E524" s="33" t="s">
        <v>0</v>
      </c>
      <c r="H524" s="33">
        <v>100</v>
      </c>
      <c r="P524" s="14">
        <v>3</v>
      </c>
      <c r="U524" s="14" t="s">
        <v>11</v>
      </c>
    </row>
    <row r="525" spans="2:21" x14ac:dyDescent="0.25">
      <c r="B525" s="34" t="s">
        <v>6</v>
      </c>
      <c r="E525" s="14"/>
      <c r="H525" s="33">
        <v>500</v>
      </c>
      <c r="P525" s="14">
        <v>4</v>
      </c>
      <c r="U525" s="14" t="s">
        <v>82</v>
      </c>
    </row>
    <row r="526" spans="2:21" x14ac:dyDescent="0.25">
      <c r="B526" s="34" t="s">
        <v>9</v>
      </c>
      <c r="E526" s="14"/>
      <c r="H526" s="33">
        <v>1000</v>
      </c>
      <c r="P526" s="14">
        <v>5</v>
      </c>
      <c r="U526" s="14" t="s">
        <v>81</v>
      </c>
    </row>
    <row r="527" spans="2:21" x14ac:dyDescent="0.25">
      <c r="B527" s="34" t="s">
        <v>7</v>
      </c>
      <c r="E527" s="14"/>
      <c r="H527" s="33">
        <v>5000</v>
      </c>
      <c r="P527" s="14">
        <v>6</v>
      </c>
      <c r="U527" s="14" t="s">
        <v>13</v>
      </c>
    </row>
    <row r="528" spans="2:21" x14ac:dyDescent="0.25">
      <c r="B528" s="34" t="s">
        <v>8</v>
      </c>
      <c r="E528" s="14"/>
      <c r="H528" s="33">
        <v>10000</v>
      </c>
      <c r="P528" s="14">
        <v>7</v>
      </c>
    </row>
    <row r="529" spans="2:16" x14ac:dyDescent="0.25">
      <c r="B529" s="34" t="s">
        <v>19</v>
      </c>
      <c r="E529" s="14"/>
      <c r="H529" s="33">
        <v>50000</v>
      </c>
      <c r="P529" s="14">
        <v>8</v>
      </c>
    </row>
    <row r="530" spans="2:16" x14ac:dyDescent="0.25">
      <c r="B530" s="34" t="s">
        <v>0</v>
      </c>
      <c r="E530" s="14"/>
      <c r="H530" s="33">
        <v>100000</v>
      </c>
      <c r="P530" s="14">
        <v>9</v>
      </c>
    </row>
    <row r="531" spans="2:16" x14ac:dyDescent="0.25">
      <c r="E531" s="14"/>
      <c r="H531" s="33"/>
      <c r="P531" s="14">
        <v>10</v>
      </c>
    </row>
    <row r="532" spans="2:16" x14ac:dyDescent="0.25">
      <c r="E532" s="14"/>
    </row>
    <row r="533" spans="2:16" x14ac:dyDescent="0.25">
      <c r="E533" s="14"/>
    </row>
    <row r="539" spans="2:16" x14ac:dyDescent="0.25">
      <c r="B539" s="14" t="s">
        <v>78</v>
      </c>
    </row>
    <row r="541" spans="2:16" x14ac:dyDescent="0.25">
      <c r="B541" s="14" t="s">
        <v>83</v>
      </c>
    </row>
    <row r="542" spans="2:16" x14ac:dyDescent="0.25">
      <c r="B542" s="34" t="s">
        <v>76</v>
      </c>
      <c r="E542" s="34"/>
      <c r="F542" s="34"/>
      <c r="G542" s="34"/>
      <c r="H542" s="34"/>
    </row>
    <row r="543" spans="2:16" x14ac:dyDescent="0.25">
      <c r="B543" s="34" t="s">
        <v>75</v>
      </c>
      <c r="E543" s="34"/>
      <c r="F543" s="34"/>
      <c r="G543" s="34"/>
      <c r="H543" s="34"/>
    </row>
    <row r="544" spans="2:16" x14ac:dyDescent="0.25">
      <c r="B544" s="34" t="s">
        <v>77</v>
      </c>
      <c r="C544" s="34"/>
      <c r="D544" s="34"/>
      <c r="E544" s="34"/>
      <c r="F544" s="34"/>
      <c r="G544" s="34"/>
      <c r="H544" s="34"/>
    </row>
    <row r="545" spans="2:8" x14ac:dyDescent="0.25">
      <c r="C545" s="34"/>
      <c r="D545" s="34"/>
      <c r="E545" s="34"/>
      <c r="F545" s="34"/>
      <c r="G545" s="34"/>
      <c r="H545" s="34"/>
    </row>
    <row r="546" spans="2:8" x14ac:dyDescent="0.25">
      <c r="B546" s="56" t="s">
        <v>90</v>
      </c>
      <c r="C546" s="56" t="s">
        <v>79</v>
      </c>
      <c r="D546" s="56"/>
      <c r="E546" s="34"/>
      <c r="H546" s="34"/>
    </row>
    <row r="547" spans="2:8" x14ac:dyDescent="0.25">
      <c r="B547" s="34" t="s">
        <v>76</v>
      </c>
      <c r="C547" s="78">
        <v>1</v>
      </c>
      <c r="D547" s="34"/>
      <c r="E547" s="34"/>
      <c r="F547" s="34"/>
      <c r="G547" s="34"/>
      <c r="H547" s="34"/>
    </row>
    <row r="548" spans="2:8" x14ac:dyDescent="0.25">
      <c r="B548" s="34" t="s">
        <v>75</v>
      </c>
      <c r="C548" s="78">
        <v>1.1355900000000001</v>
      </c>
      <c r="D548" s="78"/>
      <c r="E548" s="34"/>
      <c r="F548" s="34"/>
      <c r="G548" s="34"/>
      <c r="H548" s="34"/>
    </row>
    <row r="549" spans="2:8" x14ac:dyDescent="0.25">
      <c r="B549" s="34" t="s">
        <v>77</v>
      </c>
      <c r="C549" s="55">
        <v>0.89676</v>
      </c>
    </row>
    <row r="552" spans="2:8" x14ac:dyDescent="0.25">
      <c r="B552" s="56" t="s">
        <v>92</v>
      </c>
      <c r="C552" s="72"/>
    </row>
    <row r="553" spans="2:8" x14ac:dyDescent="0.25">
      <c r="B553" s="79" t="s">
        <v>145</v>
      </c>
    </row>
    <row r="555" spans="2:8" x14ac:dyDescent="0.25">
      <c r="B555" s="64" t="s">
        <v>89</v>
      </c>
      <c r="C555" s="63">
        <v>100</v>
      </c>
    </row>
    <row r="556" spans="2:8" x14ac:dyDescent="0.25">
      <c r="B556" s="14" t="s">
        <v>93</v>
      </c>
      <c r="C556" s="14">
        <v>100</v>
      </c>
    </row>
    <row r="557" spans="2:8" x14ac:dyDescent="0.25">
      <c r="B557" s="14" t="s">
        <v>84</v>
      </c>
      <c r="C557" s="14">
        <v>110.8</v>
      </c>
    </row>
    <row r="558" spans="2:8" x14ac:dyDescent="0.25">
      <c r="B558" s="14" t="s">
        <v>94</v>
      </c>
      <c r="C558" s="14">
        <v>49.6</v>
      </c>
    </row>
    <row r="559" spans="2:8" x14ac:dyDescent="0.25">
      <c r="B559" s="14" t="s">
        <v>95</v>
      </c>
      <c r="C559" s="14">
        <v>68.2</v>
      </c>
    </row>
    <row r="560" spans="2:8" x14ac:dyDescent="0.25">
      <c r="B560" s="14" t="s">
        <v>96</v>
      </c>
      <c r="C560" s="14">
        <v>138.9</v>
      </c>
    </row>
    <row r="561" spans="2:3" x14ac:dyDescent="0.25">
      <c r="B561" s="14" t="s">
        <v>97</v>
      </c>
      <c r="C561" s="14">
        <v>104</v>
      </c>
    </row>
    <row r="562" spans="2:3" x14ac:dyDescent="0.25">
      <c r="B562" s="14" t="s">
        <v>88</v>
      </c>
      <c r="C562" s="14">
        <v>78.099999999999994</v>
      </c>
    </row>
    <row r="563" spans="2:3" x14ac:dyDescent="0.25">
      <c r="B563" s="14" t="s">
        <v>98</v>
      </c>
      <c r="C563" s="14">
        <v>127.2</v>
      </c>
    </row>
    <row r="564" spans="2:3" x14ac:dyDescent="0.25">
      <c r="B564" s="14" t="s">
        <v>99</v>
      </c>
      <c r="C564" s="14">
        <v>85.4</v>
      </c>
    </row>
    <row r="565" spans="2:3" x14ac:dyDescent="0.25">
      <c r="B565" s="14" t="s">
        <v>100</v>
      </c>
      <c r="C565" s="14">
        <v>92.5</v>
      </c>
    </row>
    <row r="566" spans="2:3" x14ac:dyDescent="0.25">
      <c r="B566" s="14" t="s">
        <v>86</v>
      </c>
      <c r="C566" s="14">
        <v>109.5</v>
      </c>
    </row>
    <row r="567" spans="2:3" x14ac:dyDescent="0.25">
      <c r="B567" s="14" t="s">
        <v>101</v>
      </c>
      <c r="C567" s="14">
        <v>67.400000000000006</v>
      </c>
    </row>
    <row r="568" spans="2:3" x14ac:dyDescent="0.25">
      <c r="B568" s="14" t="s">
        <v>102</v>
      </c>
      <c r="C568" s="14">
        <v>100.9</v>
      </c>
    </row>
    <row r="569" spans="2:3" x14ac:dyDescent="0.25">
      <c r="B569" s="14" t="s">
        <v>103</v>
      </c>
      <c r="C569" s="14">
        <v>89.5</v>
      </c>
    </row>
    <row r="570" spans="2:3" x14ac:dyDescent="0.25">
      <c r="B570" s="14" t="s">
        <v>104</v>
      </c>
      <c r="C570" s="14">
        <v>72.8</v>
      </c>
    </row>
    <row r="571" spans="2:3" x14ac:dyDescent="0.25">
      <c r="B571" s="14" t="s">
        <v>105</v>
      </c>
      <c r="C571" s="14">
        <v>64.5</v>
      </c>
    </row>
    <row r="572" spans="2:3" x14ac:dyDescent="0.25">
      <c r="B572" s="14" t="s">
        <v>106</v>
      </c>
      <c r="C572" s="14">
        <v>125.9</v>
      </c>
    </row>
    <row r="573" spans="2:3" x14ac:dyDescent="0.25">
      <c r="B573" s="14" t="s">
        <v>107</v>
      </c>
      <c r="C573" s="14">
        <v>63</v>
      </c>
    </row>
    <row r="574" spans="2:3" x14ac:dyDescent="0.25">
      <c r="B574" s="14" t="s">
        <v>108</v>
      </c>
      <c r="C574" s="14">
        <v>81.7</v>
      </c>
    </row>
    <row r="575" spans="2:3" x14ac:dyDescent="0.25">
      <c r="B575" s="14" t="s">
        <v>87</v>
      </c>
      <c r="C575" s="14">
        <v>112.1</v>
      </c>
    </row>
    <row r="576" spans="2:3" x14ac:dyDescent="0.25">
      <c r="B576" s="14" t="s">
        <v>109</v>
      </c>
      <c r="C576" s="14">
        <v>108.6</v>
      </c>
    </row>
    <row r="577" spans="2:3" x14ac:dyDescent="0.25">
      <c r="B577" s="14" t="s">
        <v>110</v>
      </c>
      <c r="C577" s="14">
        <v>56.7</v>
      </c>
    </row>
    <row r="578" spans="2:3" x14ac:dyDescent="0.25">
      <c r="B578" s="14" t="s">
        <v>111</v>
      </c>
      <c r="C578" s="14">
        <v>86</v>
      </c>
    </row>
    <row r="579" spans="2:3" x14ac:dyDescent="0.25">
      <c r="B579" s="14" t="s">
        <v>112</v>
      </c>
      <c r="C579" s="14">
        <v>52.6</v>
      </c>
    </row>
    <row r="580" spans="2:3" x14ac:dyDescent="0.25">
      <c r="B580" s="14" t="s">
        <v>113</v>
      </c>
      <c r="C580" s="14">
        <v>83.8</v>
      </c>
    </row>
    <row r="581" spans="2:3" x14ac:dyDescent="0.25">
      <c r="B581" s="14" t="s">
        <v>114</v>
      </c>
      <c r="C581" s="14">
        <v>69.8</v>
      </c>
    </row>
    <row r="582" spans="2:3" x14ac:dyDescent="0.25">
      <c r="B582" s="14" t="s">
        <v>85</v>
      </c>
      <c r="C582" s="14">
        <v>122.4</v>
      </c>
    </row>
    <row r="583" spans="2:3" x14ac:dyDescent="0.25">
      <c r="B583" s="14" t="s">
        <v>115</v>
      </c>
      <c r="C583" s="14">
        <v>125.5</v>
      </c>
    </row>
    <row r="584" spans="2:3" x14ac:dyDescent="0.25">
      <c r="B584" s="14" t="s">
        <v>116</v>
      </c>
      <c r="C584" s="14">
        <v>116.4</v>
      </c>
    </row>
    <row r="585" spans="2:3" x14ac:dyDescent="0.25">
      <c r="B585" s="14" t="s">
        <v>117</v>
      </c>
      <c r="C585" s="14">
        <v>166.1</v>
      </c>
    </row>
    <row r="586" spans="2:3" x14ac:dyDescent="0.25">
      <c r="B586" s="14" t="s">
        <v>118</v>
      </c>
      <c r="C586" s="32" t="s">
        <v>119</v>
      </c>
    </row>
    <row r="587" spans="2:3" x14ac:dyDescent="0.25">
      <c r="B587" s="14" t="s">
        <v>120</v>
      </c>
      <c r="C587" s="14">
        <v>149.5</v>
      </c>
    </row>
    <row r="588" spans="2:3" x14ac:dyDescent="0.25">
      <c r="B588" s="14" t="s">
        <v>121</v>
      </c>
      <c r="C588" s="14">
        <v>159.9</v>
      </c>
    </row>
    <row r="589" spans="2:3" x14ac:dyDescent="0.25">
      <c r="B589" s="14" t="s">
        <v>122</v>
      </c>
      <c r="C589" s="14">
        <v>55.6</v>
      </c>
    </row>
    <row r="590" spans="2:3" x14ac:dyDescent="0.25">
      <c r="B590" s="14" t="s">
        <v>123</v>
      </c>
      <c r="C590" s="14">
        <v>47.9</v>
      </c>
    </row>
    <row r="591" spans="2:3" x14ac:dyDescent="0.25">
      <c r="B591" s="14" t="s">
        <v>124</v>
      </c>
      <c r="C591" s="14">
        <v>49.8</v>
      </c>
    </row>
    <row r="592" spans="2:3" x14ac:dyDescent="0.25">
      <c r="B592" s="14" t="s">
        <v>125</v>
      </c>
      <c r="C592" s="14">
        <v>51.9</v>
      </c>
    </row>
    <row r="593" spans="2:3" x14ac:dyDescent="0.25">
      <c r="B593" s="14" t="s">
        <v>126</v>
      </c>
      <c r="C593" s="14">
        <v>52.7</v>
      </c>
    </row>
    <row r="594" spans="2:3" x14ac:dyDescent="0.25">
      <c r="B594" s="14" t="s">
        <v>127</v>
      </c>
      <c r="C594" s="14">
        <v>52</v>
      </c>
    </row>
    <row r="595" spans="2:3" x14ac:dyDescent="0.25">
      <c r="B595" s="14" t="s">
        <v>128</v>
      </c>
      <c r="C595" s="14">
        <v>52.1</v>
      </c>
    </row>
    <row r="596" spans="2:3" x14ac:dyDescent="0.25">
      <c r="B596" s="14" t="s">
        <v>129</v>
      </c>
      <c r="C596" s="14">
        <v>114.4</v>
      </c>
    </row>
    <row r="597" spans="2:3" x14ac:dyDescent="0.25">
      <c r="B597" s="14" t="s">
        <v>130</v>
      </c>
      <c r="C597" s="14">
        <v>110.8</v>
      </c>
    </row>
  </sheetData>
  <sheetProtection password="D792" sheet="1" selectLockedCells="1"/>
  <protectedRanges>
    <protectedRange sqref="B2 D2:F3 H2" name="Headings"/>
  </protectedRanges>
  <mergeCells count="9">
    <mergeCell ref="F25:F26"/>
    <mergeCell ref="G25:G26"/>
    <mergeCell ref="B42:G42"/>
    <mergeCell ref="D2:F2"/>
    <mergeCell ref="D3:F3"/>
    <mergeCell ref="B9:G9"/>
    <mergeCell ref="E19:F19"/>
    <mergeCell ref="E20:F20"/>
    <mergeCell ref="B22:G22"/>
  </mergeCells>
  <conditionalFormatting sqref="C6 F6 I10 I14:I18 F16:F18 I23 C34 I27:I31 I39 I43 C52:C53 C59 I59">
    <cfRule type="expression" dxfId="9" priority="10">
      <formula>$H$2="£ Sterling"</formula>
    </cfRule>
  </conditionalFormatting>
  <conditionalFormatting sqref="C6 F6 I10 I14:I18 F16:F18 I23 C34 I27:I31 I39 I43 C52:C53 C59 I59">
    <cfRule type="expression" dxfId="8" priority="9">
      <formula>$H$2="$ US Dollars"</formula>
    </cfRule>
  </conditionalFormatting>
  <conditionalFormatting sqref="C6 F6 I10 I14:I18 F16:F18 I23 C34 I27:I31 I39 I43 C52:C53 C59 I59">
    <cfRule type="expression" dxfId="7" priority="8">
      <formula>$H$2="€ Euros"</formula>
    </cfRule>
  </conditionalFormatting>
  <conditionalFormatting sqref="F15 C36 C39 C51 C60">
    <cfRule type="expression" dxfId="6" priority="5">
      <formula>$H$2="$ US Dollars"</formula>
    </cfRule>
    <cfRule type="expression" dxfId="5" priority="6">
      <formula>$H$2="£ Sterling"</formula>
    </cfRule>
    <cfRule type="expression" dxfId="4" priority="7">
      <formula>$H$2="€ Euros"</formula>
    </cfRule>
  </conditionalFormatting>
  <conditionalFormatting sqref="L12">
    <cfRule type="expression" dxfId="3" priority="4">
      <formula>$H$2="€ Euros"</formula>
    </cfRule>
  </conditionalFormatting>
  <conditionalFormatting sqref="C7">
    <cfRule type="expression" dxfId="2" priority="3">
      <formula>$H$2="£ Sterling"</formula>
    </cfRule>
  </conditionalFormatting>
  <conditionalFormatting sqref="C7">
    <cfRule type="expression" dxfId="1" priority="2">
      <formula>$H$2="$ US Dollars"</formula>
    </cfRule>
  </conditionalFormatting>
  <conditionalFormatting sqref="C7">
    <cfRule type="expression" dxfId="0" priority="1">
      <formula>$H$2="€ Euros"</formula>
    </cfRule>
  </conditionalFormatting>
  <dataValidations count="21">
    <dataValidation type="decimal" showInputMessage="1" showErrorMessage="1" prompt="Enter value between 0 and 20 for number of fixed staff supporting the facility i.e., even if no digitisation is occurring. Part FTE allowed." sqref="C16" xr:uid="{E9A65D24-1B6E-4FE2-94EE-C871EFDBB498}">
      <formula1>0</formula1>
      <formula2>20</formula2>
    </dataValidation>
    <dataValidation type="decimal" allowBlank="1" showInputMessage="1" showErrorMessage="1" prompt="Enter depreciation period in years (straight line depreciation will be used)" sqref="C14" xr:uid="{553D602A-1F26-48B4-B723-C9D7C4A8DAB3}">
      <formula1>1</formula1>
      <formula2>7</formula2>
    </dataValidation>
    <dataValidation allowBlank="1" showInputMessage="1" showErrorMessage="1" prompt="Enter room area of your digitisation facility" sqref="C15" xr:uid="{1011BAE2-967E-4423-ACE3-49B114BA9A30}"/>
    <dataValidation allowBlank="1" showInputMessage="1" showErrorMessage="1" prompt="Enter monthly average gross salary for number of staff selected above" sqref="C34" xr:uid="{4DBDA8D3-4BFB-4687-973D-0F1391E66056}"/>
    <dataValidation allowBlank="1" showInputMessage="1" showErrorMessage="1" prompt="Number of hours in working week (change if necessary)" sqref="C35" xr:uid="{6C7E0191-B086-46B8-9281-F6375BF025B5}"/>
    <dataValidation allowBlank="1" showInputMessage="1" showErrorMessage="1" prompt="Only enter a value here if you do not know the split across the above 5 task clusters" sqref="F34" xr:uid="{C1496F54-2F8C-4F2A-8307-A08E0BC694C7}"/>
    <dataValidation allowBlank="1" showInputMessage="1" showErrorMessage="1" prompt="Enter in minutes. Add up for all persons involved. See Instructions sheet for explanation of the tasks_x000a_" sqref="F27:F31" xr:uid="{04582761-29FD-4D98-BDE5-4EE98B837EA2}"/>
    <dataValidation allowBlank="1" showInputMessage="1" showErrorMessage="1" prompt="This cell not currently used" sqref="C17" xr:uid="{81C0D2F4-D7CE-44FB-9D61-0294DA5DF2D2}"/>
    <dataValidation type="list" allowBlank="1" showInputMessage="1" showErrorMessage="1" prompt="Choose type of workflow" sqref="B28" xr:uid="{C5E0AFCB-0D0E-4EF5-946A-00CBAC3D8187}">
      <formula1>$J$520:$J$523</formula1>
    </dataValidation>
    <dataValidation type="list" allowBlank="1" showInputMessage="1" showErrorMessage="1" prompt="Choose type of process" sqref="B29" xr:uid="{FD03858E-9563-4A74-A59C-291B16E4A5CA}">
      <formula1>$M$520:$M$523</formula1>
    </dataValidation>
    <dataValidation type="list" allowBlank="1" showInputMessage="1" showErrorMessage="1" prompt="Select number of staff needed for digitisation (additional to number of fixed staff, above)" sqref="C33" xr:uid="{B2A0F2DD-A565-467A-9D26-714414F5D854}">
      <formula1>$P$520:$P$532</formula1>
    </dataValidation>
    <dataValidation type="list" allowBlank="1" showInputMessage="1" showErrorMessage="1" prompt="Choose unit of digitisation" sqref="B30" xr:uid="{FFE7D433-274F-4E62-89EC-C566A3ABF2C5}">
      <formula1>$E$520:$E$524</formula1>
    </dataValidation>
    <dataValidation type="list" errorStyle="information" allowBlank="1" showInputMessage="1" prompt="Choose typical batch size (or enter own value)" sqref="C31" xr:uid="{3658C0EA-C832-4EF9-80F2-98DF0C7FB40A}">
      <formula1>$H$520:$H$530</formula1>
    </dataValidation>
    <dataValidation type="list" allowBlank="1" showInputMessage="1" showErrorMessage="1" prompt="Choose specimen category" sqref="B27" xr:uid="{6C50436F-6541-40B5-A3C9-FB2E31D9F127}">
      <formula1>$B$520:$B$530</formula1>
    </dataValidation>
    <dataValidation type="list" allowBlank="1" showInputMessage="1" prompt="Select your institution from the drop-down list, or enter if not listed" sqref="B2:B3" xr:uid="{F6D4C9C8-D3DE-4185-9DC4-67AF50BE2A4E}">
      <formula1>$U$520:$U$527</formula1>
    </dataValidation>
    <dataValidation type="list" allowBlank="1" showInputMessage="1" showErrorMessage="1" prompt="Choose currency to use from dropdown list_x000a_" sqref="H2:H3" xr:uid="{07E932A9-D627-4983-B13F-B0D56E2DA324}">
      <formula1>$B$541:$B$544</formula1>
    </dataValidation>
    <dataValidation allowBlank="1" showInputMessage="1" showErrorMessage="1" prompt="If applicable, include costs of any upgrade(s) divided over the lifetimeof the digitisation facility e.g., if upgrade cost is €10,000 and lifetime is 5 years, enter €2,000." sqref="C18" xr:uid="{B25FA0D6-AC0E-4A4A-8E0B-F503A4CA1DB4}"/>
    <dataValidation allowBlank="1" showErrorMessage="1" sqref="B19" xr:uid="{9566B08B-248E-4486-898D-BA71A0313C49}"/>
    <dataValidation allowBlank="1" showInputMessage="1" showErrorMessage="1" prompt="Capital equipment costs include digitisation equipment, furniture, computers, etc." sqref="C6" xr:uid="{9AE49329-8CD2-42C2-8ABD-223C09EBFA49}"/>
    <dataValidation allowBlank="1" showInputMessage="1" showErrorMessage="1" prompt="Other costs are costs of procurement, making a room ready e.g., decorating, wiring, etc._x000a_" sqref="F6" xr:uid="{240D169C-F4BD-4639-908C-B89D2009659E}"/>
    <dataValidation allowBlank="1" showInputMessage="1" showErrorMessage="1" prompt="Include any equipment (capital) upgrade costs during lifetime of facility (but not annual maintenance contracts, licenses, etc.)" sqref="C7" xr:uid="{768B46E7-D79A-4758-8B79-AEA9AF715621}"/>
  </dataValidations>
  <hyperlinks>
    <hyperlink ref="B553" r:id="rId1" xr:uid="{6216ECD2-DC2B-4FBC-9998-2FFFD89EE984}"/>
  </hyperlinks>
  <pageMargins left="0.7" right="0.7" top="0.75" bottom="0.75" header="0.3" footer="0.3"/>
  <pageSetup paperSize="9"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F2B4A-0734-4C0D-82E0-EE37C722CDF7}">
  <dimension ref="A2:AV597"/>
  <sheetViews>
    <sheetView topLeftCell="A45" workbookViewId="0">
      <selection activeCell="B42" sqref="B42:G42"/>
    </sheetView>
  </sheetViews>
  <sheetFormatPr defaultColWidth="8.7109375" defaultRowHeight="15" x14ac:dyDescent="0.25"/>
  <cols>
    <col min="1" max="1" width="1.5703125" style="14" customWidth="1"/>
    <col min="2" max="2" width="55.5703125" style="14" bestFit="1" customWidth="1"/>
    <col min="3" max="3" width="10.28515625" style="14" bestFit="1" customWidth="1"/>
    <col min="4" max="4" width="8.7109375" style="14"/>
    <col min="5" max="5" width="29.85546875" style="32" customWidth="1"/>
    <col min="6" max="6" width="10.28515625" style="14" bestFit="1" customWidth="1"/>
    <col min="7" max="7" width="8.7109375" style="14"/>
    <col min="8" max="8" width="24.85546875" style="14" bestFit="1" customWidth="1"/>
    <col min="9" max="9" width="11.42578125" style="14" bestFit="1" customWidth="1"/>
    <col min="10" max="10" width="1.140625" style="14" customWidth="1"/>
    <col min="11" max="16384" width="8.7109375" style="14"/>
  </cols>
  <sheetData>
    <row r="2" spans="1:14" ht="42.6" customHeight="1" x14ac:dyDescent="0.25">
      <c r="B2" s="1" t="s">
        <v>146</v>
      </c>
      <c r="C2" s="57" t="str">
        <f>_xlfn.SWITCH($B$2, "APM","Belgium","LUOMUS","Finland","MNHN","France","Naturalis","Netherlands","NHMUK","UK","RBGK","UK","UTARTU","Estonia","- -")</f>
        <v>- -</v>
      </c>
      <c r="D2" s="85" t="s">
        <v>147</v>
      </c>
      <c r="E2" s="86"/>
      <c r="F2" s="87"/>
      <c r="H2" s="80" t="s">
        <v>76</v>
      </c>
    </row>
    <row r="3" spans="1:14" ht="42.6" customHeight="1" x14ac:dyDescent="0.25">
      <c r="C3" s="57"/>
      <c r="D3" s="88"/>
      <c r="E3" s="89"/>
      <c r="F3" s="90"/>
    </row>
    <row r="5" spans="1:14" x14ac:dyDescent="0.25">
      <c r="A5" s="9"/>
      <c r="B5" s="15" t="s">
        <v>30</v>
      </c>
      <c r="C5" s="16"/>
      <c r="D5" s="16"/>
      <c r="E5" s="17"/>
      <c r="F5" s="16"/>
      <c r="G5" s="16"/>
      <c r="H5" s="16"/>
      <c r="I5" s="18"/>
    </row>
    <row r="6" spans="1:14" ht="14.45" customHeight="1" x14ac:dyDescent="0.25">
      <c r="A6" s="48"/>
      <c r="B6" s="36" t="s">
        <v>22</v>
      </c>
      <c r="C6" s="2">
        <v>3500</v>
      </c>
      <c r="D6" s="20"/>
      <c r="E6" s="49" t="s">
        <v>54</v>
      </c>
      <c r="F6" s="2"/>
      <c r="G6" s="20"/>
      <c r="H6" s="20"/>
      <c r="I6" s="22"/>
    </row>
    <row r="7" spans="1:14" ht="14.45" customHeight="1" x14ac:dyDescent="0.25">
      <c r="A7" s="9"/>
      <c r="B7" s="36" t="s">
        <v>140</v>
      </c>
      <c r="C7" s="2"/>
      <c r="D7" s="20"/>
      <c r="E7" s="20"/>
      <c r="F7" s="20"/>
      <c r="G7" s="20"/>
      <c r="H7" s="20"/>
      <c r="I7" s="22"/>
    </row>
    <row r="8" spans="1:14" ht="14.45" customHeight="1" x14ac:dyDescent="0.25">
      <c r="A8" s="9"/>
      <c r="B8" s="53" t="s">
        <v>144</v>
      </c>
      <c r="C8" s="20"/>
      <c r="D8" s="20"/>
      <c r="E8" s="20"/>
      <c r="F8" s="20"/>
      <c r="G8" s="20"/>
      <c r="H8" s="20"/>
      <c r="I8" s="22"/>
    </row>
    <row r="9" spans="1:14" ht="45" customHeight="1" x14ac:dyDescent="0.25">
      <c r="A9" s="9"/>
      <c r="B9" s="83" t="s">
        <v>149</v>
      </c>
      <c r="C9" s="84"/>
      <c r="D9" s="84"/>
      <c r="E9" s="84"/>
      <c r="F9" s="84"/>
      <c r="G9" s="84"/>
      <c r="H9" s="29"/>
      <c r="I9" s="35"/>
      <c r="K9" s="70" t="s">
        <v>76</v>
      </c>
      <c r="L9" s="71" t="s">
        <v>91</v>
      </c>
      <c r="M9" s="65"/>
      <c r="N9" s="65"/>
    </row>
    <row r="10" spans="1:14" ht="14.45" customHeight="1" x14ac:dyDescent="0.25">
      <c r="A10" s="9"/>
      <c r="B10" s="10"/>
      <c r="C10" s="11"/>
      <c r="D10" s="11"/>
      <c r="E10" s="11"/>
      <c r="F10" s="11"/>
      <c r="G10" s="12"/>
      <c r="H10" s="46" t="s">
        <v>29</v>
      </c>
      <c r="I10" s="58">
        <f>C6+F6</f>
        <v>3500</v>
      </c>
      <c r="K10" s="68">
        <f>$I$10*VLOOKUP($H$2,$B$547:$C$549,2,)</f>
        <v>3500</v>
      </c>
      <c r="L10" s="68">
        <f>$I$10*VLOOKUP($H$2,$B$547:$C$549,2,)*100/VLOOKUP($C$2,$B$555:$C$597,2,)</f>
        <v>3500</v>
      </c>
    </row>
    <row r="11" spans="1:14" ht="14.45" customHeight="1" x14ac:dyDescent="0.25">
      <c r="A11" s="9"/>
      <c r="B11" s="9"/>
      <c r="C11" s="9"/>
      <c r="D11" s="9"/>
      <c r="E11" s="9"/>
      <c r="F11" s="9"/>
      <c r="G11" s="9"/>
      <c r="H11" s="47"/>
    </row>
    <row r="12" spans="1:14" ht="14.45" customHeight="1" x14ac:dyDescent="0.25">
      <c r="B12" s="15" t="s">
        <v>27</v>
      </c>
      <c r="C12" s="16"/>
      <c r="D12" s="16"/>
      <c r="E12" s="16"/>
      <c r="F12" s="16"/>
      <c r="G12" s="16"/>
      <c r="H12" s="16"/>
      <c r="I12" s="18"/>
    </row>
    <row r="13" spans="1:14" ht="14.45" customHeight="1" x14ac:dyDescent="0.25">
      <c r="B13" s="19"/>
      <c r="C13" s="20"/>
      <c r="D13" s="20"/>
      <c r="E13" s="20"/>
      <c r="F13" s="20"/>
      <c r="G13" s="20"/>
      <c r="H13" s="29" t="s">
        <v>26</v>
      </c>
      <c r="I13" s="22"/>
    </row>
    <row r="14" spans="1:14" x14ac:dyDescent="0.25">
      <c r="A14" s="44"/>
      <c r="B14" s="36" t="s">
        <v>133</v>
      </c>
      <c r="C14" s="2">
        <v>3</v>
      </c>
      <c r="D14" s="20"/>
      <c r="E14" s="21"/>
      <c r="F14" s="20"/>
      <c r="G14" s="20"/>
      <c r="H14" s="20" t="s">
        <v>25</v>
      </c>
      <c r="I14" s="24">
        <f>(C6+C7)/C14</f>
        <v>1166.6666666666667</v>
      </c>
    </row>
    <row r="15" spans="1:14" ht="17.25" x14ac:dyDescent="0.25">
      <c r="B15" s="36" t="s">
        <v>20</v>
      </c>
      <c r="C15" s="3">
        <v>12</v>
      </c>
      <c r="D15" s="20"/>
      <c r="E15" s="21" t="s">
        <v>21</v>
      </c>
      <c r="F15" s="59">
        <v>0</v>
      </c>
      <c r="G15" s="20"/>
      <c r="H15" s="20" t="s">
        <v>60</v>
      </c>
      <c r="I15" s="24">
        <f>C15*F15*12</f>
        <v>0</v>
      </c>
    </row>
    <row r="16" spans="1:14" x14ac:dyDescent="0.25">
      <c r="B16" s="36" t="s">
        <v>142</v>
      </c>
      <c r="C16" s="4">
        <v>0</v>
      </c>
      <c r="D16" s="20"/>
      <c r="E16" s="21" t="s">
        <v>141</v>
      </c>
      <c r="F16" s="2">
        <v>4635</v>
      </c>
      <c r="G16" s="20"/>
      <c r="H16" s="20" t="s">
        <v>61</v>
      </c>
      <c r="I16" s="24">
        <f>C16*F16*12</f>
        <v>0</v>
      </c>
    </row>
    <row r="17" spans="1:48" x14ac:dyDescent="0.25">
      <c r="B17" s="36"/>
      <c r="C17" s="76"/>
      <c r="D17" s="20"/>
      <c r="E17" s="21" t="s">
        <v>51</v>
      </c>
      <c r="F17" s="2">
        <v>1158</v>
      </c>
      <c r="G17" s="20"/>
      <c r="H17" s="20" t="s">
        <v>62</v>
      </c>
      <c r="I17" s="24">
        <f>F17*12</f>
        <v>13896</v>
      </c>
    </row>
    <row r="18" spans="1:48" x14ac:dyDescent="0.25">
      <c r="B18" s="36"/>
      <c r="C18" s="77"/>
      <c r="D18" s="20"/>
      <c r="E18" s="21" t="s">
        <v>53</v>
      </c>
      <c r="F18" s="2">
        <v>65</v>
      </c>
      <c r="G18" s="20"/>
      <c r="H18" s="20" t="s">
        <v>52</v>
      </c>
      <c r="I18" s="24">
        <f>F18*12</f>
        <v>780</v>
      </c>
    </row>
    <row r="19" spans="1:48" x14ac:dyDescent="0.25">
      <c r="B19" s="75"/>
      <c r="C19" s="73"/>
      <c r="D19" s="42"/>
      <c r="E19" s="91" t="s">
        <v>138</v>
      </c>
      <c r="F19" s="91"/>
      <c r="G19" s="20"/>
      <c r="H19" s="20"/>
      <c r="I19" s="22"/>
    </row>
    <row r="20" spans="1:48" x14ac:dyDescent="0.25">
      <c r="B20" s="74"/>
      <c r="C20" s="20"/>
      <c r="D20" s="20"/>
      <c r="E20" s="91" t="s">
        <v>139</v>
      </c>
      <c r="F20" s="91"/>
      <c r="G20" s="20"/>
      <c r="H20" s="26"/>
      <c r="I20" s="22"/>
      <c r="AV20" s="33"/>
    </row>
    <row r="21" spans="1:48" x14ac:dyDescent="0.25">
      <c r="B21" s="53" t="s">
        <v>143</v>
      </c>
      <c r="C21" s="20"/>
      <c r="D21" s="20"/>
      <c r="E21" s="21"/>
      <c r="F21" s="20"/>
      <c r="G21" s="20"/>
      <c r="H21" s="26"/>
      <c r="I21" s="22"/>
      <c r="AV21" s="33"/>
    </row>
    <row r="22" spans="1:48" ht="45" customHeight="1" x14ac:dyDescent="0.25">
      <c r="A22" s="9"/>
      <c r="B22" s="83" t="s">
        <v>150</v>
      </c>
      <c r="C22" s="84"/>
      <c r="D22" s="84"/>
      <c r="E22" s="84"/>
      <c r="F22" s="84"/>
      <c r="G22" s="84"/>
      <c r="H22" s="29"/>
      <c r="I22" s="35"/>
      <c r="K22" s="70" t="s">
        <v>76</v>
      </c>
      <c r="L22" s="71" t="s">
        <v>91</v>
      </c>
    </row>
    <row r="23" spans="1:48" ht="14.45" customHeight="1" x14ac:dyDescent="0.25">
      <c r="A23" s="9"/>
      <c r="B23" s="10"/>
      <c r="C23" s="11"/>
      <c r="D23" s="11"/>
      <c r="E23" s="11"/>
      <c r="F23" s="11"/>
      <c r="G23" s="12"/>
      <c r="H23" s="43" t="s">
        <v>24</v>
      </c>
      <c r="I23" s="58">
        <f>SUM(I14, I15, I16, I17, I18)</f>
        <v>15842.666666666666</v>
      </c>
      <c r="K23" s="68">
        <f>$I$23*VLOOKUP($H$2,$B$547:$C$549,2,)</f>
        <v>15842.666666666666</v>
      </c>
      <c r="L23" s="68">
        <f>$I$23*VLOOKUP($H$2,$B$547:$C$549,2,)*100/VLOOKUP($C$2,$B$555:$C$597,2,)</f>
        <v>15842.666666666664</v>
      </c>
    </row>
    <row r="24" spans="1:48" x14ac:dyDescent="0.25">
      <c r="H24" s="44"/>
      <c r="AV24" s="33"/>
    </row>
    <row r="25" spans="1:48" ht="15.95" customHeight="1" x14ac:dyDescent="0.25">
      <c r="B25" s="15" t="s">
        <v>28</v>
      </c>
      <c r="C25" s="16"/>
      <c r="D25" s="16"/>
      <c r="E25" s="17"/>
      <c r="F25" s="81" t="s">
        <v>131</v>
      </c>
      <c r="G25" s="81" t="s">
        <v>40</v>
      </c>
      <c r="H25" s="16"/>
      <c r="I25" s="18"/>
      <c r="AQ25" s="33"/>
      <c r="AR25" s="33"/>
      <c r="AS25" s="33"/>
      <c r="AT25" s="33"/>
      <c r="AU25" s="33"/>
      <c r="AV25" s="33"/>
    </row>
    <row r="26" spans="1:48" ht="15.95" customHeight="1" x14ac:dyDescent="0.25">
      <c r="B26" s="19" t="s">
        <v>37</v>
      </c>
      <c r="C26" s="20"/>
      <c r="D26" s="29" t="s">
        <v>14</v>
      </c>
      <c r="E26" s="21"/>
      <c r="F26" s="82"/>
      <c r="G26" s="82"/>
      <c r="H26" s="45" t="s">
        <v>32</v>
      </c>
      <c r="I26" s="22"/>
      <c r="AU26" s="33"/>
      <c r="AV26" s="33"/>
    </row>
    <row r="27" spans="1:48" x14ac:dyDescent="0.25">
      <c r="B27" s="5" t="s">
        <v>0</v>
      </c>
      <c r="C27" s="42"/>
      <c r="D27" s="42" t="s">
        <v>44</v>
      </c>
      <c r="E27" s="21"/>
      <c r="F27" s="54"/>
      <c r="G27" s="41">
        <f>F27*C31/60</f>
        <v>0</v>
      </c>
      <c r="H27" s="39"/>
      <c r="I27" s="24">
        <f>G27*C36*C32*12</f>
        <v>0</v>
      </c>
      <c r="AV27" s="33"/>
    </row>
    <row r="28" spans="1:48" ht="15" customHeight="1" x14ac:dyDescent="0.25">
      <c r="B28" s="5" t="s">
        <v>42</v>
      </c>
      <c r="C28" s="42"/>
      <c r="D28" s="42" t="s">
        <v>73</v>
      </c>
      <c r="E28" s="21"/>
      <c r="F28" s="54"/>
      <c r="G28" s="41">
        <f>F28*C31/60</f>
        <v>0</v>
      </c>
      <c r="H28" s="39"/>
      <c r="I28" s="24">
        <f>G28*C36*C32*12</f>
        <v>0</v>
      </c>
    </row>
    <row r="29" spans="1:48" x14ac:dyDescent="0.25">
      <c r="B29" s="5" t="s">
        <v>1</v>
      </c>
      <c r="C29" s="20"/>
      <c r="D29" s="42" t="s">
        <v>45</v>
      </c>
      <c r="E29" s="21"/>
      <c r="F29" s="54"/>
      <c r="G29" s="41">
        <f>F29*C31/60</f>
        <v>0</v>
      </c>
      <c r="H29" s="39"/>
      <c r="I29" s="24">
        <f>G29*C36*C32*12</f>
        <v>0</v>
      </c>
    </row>
    <row r="30" spans="1:48" x14ac:dyDescent="0.25">
      <c r="B30" s="5" t="s">
        <v>15</v>
      </c>
      <c r="C30" s="21"/>
      <c r="D30" s="42" t="s">
        <v>74</v>
      </c>
      <c r="E30" s="21"/>
      <c r="F30" s="54"/>
      <c r="G30" s="41">
        <f>F30*C31/60</f>
        <v>0</v>
      </c>
      <c r="H30" s="39"/>
      <c r="I30" s="24">
        <f>G30*C36*C32*12</f>
        <v>0</v>
      </c>
    </row>
    <row r="31" spans="1:48" x14ac:dyDescent="0.25">
      <c r="B31" s="23" t="s">
        <v>136</v>
      </c>
      <c r="C31" s="7">
        <v>1</v>
      </c>
      <c r="D31" s="42" t="s">
        <v>46</v>
      </c>
      <c r="E31" s="21"/>
      <c r="F31" s="54"/>
      <c r="G31" s="41">
        <f>F31*C31/60</f>
        <v>0</v>
      </c>
      <c r="H31" s="39"/>
      <c r="I31" s="24">
        <f>G31*C36*C32*12</f>
        <v>0</v>
      </c>
    </row>
    <row r="32" spans="1:48" x14ac:dyDescent="0.25">
      <c r="B32" s="23" t="s">
        <v>48</v>
      </c>
      <c r="C32" s="6">
        <v>500</v>
      </c>
      <c r="D32" s="42"/>
      <c r="E32" s="21"/>
      <c r="F32" s="20"/>
      <c r="G32" s="20"/>
      <c r="H32" s="39"/>
      <c r="I32" s="22"/>
    </row>
    <row r="33" spans="1:12" x14ac:dyDescent="0.25">
      <c r="B33" s="23" t="s">
        <v>58</v>
      </c>
      <c r="C33" s="7">
        <v>1</v>
      </c>
      <c r="D33" s="20"/>
      <c r="E33" s="42" t="s">
        <v>47</v>
      </c>
      <c r="F33" s="20"/>
      <c r="G33" s="20"/>
      <c r="H33" s="20"/>
      <c r="I33" s="22"/>
    </row>
    <row r="34" spans="1:12" x14ac:dyDescent="0.25">
      <c r="B34" s="23" t="s">
        <v>23</v>
      </c>
      <c r="C34" s="60">
        <v>4635</v>
      </c>
      <c r="D34" s="21"/>
      <c r="E34" s="21" t="s">
        <v>57</v>
      </c>
      <c r="F34" s="8">
        <v>18</v>
      </c>
      <c r="G34" s="20"/>
      <c r="H34" s="20"/>
      <c r="I34" s="22"/>
    </row>
    <row r="35" spans="1:12" x14ac:dyDescent="0.25">
      <c r="B35" s="23" t="s">
        <v>39</v>
      </c>
      <c r="C35" s="7">
        <v>38</v>
      </c>
      <c r="D35" s="20"/>
      <c r="E35" s="21"/>
      <c r="F35" s="20"/>
      <c r="G35" s="20"/>
      <c r="H35" s="20"/>
      <c r="I35" s="22"/>
    </row>
    <row r="36" spans="1:12" x14ac:dyDescent="0.25">
      <c r="B36" s="36" t="s">
        <v>63</v>
      </c>
      <c r="C36" s="61">
        <f>C33*C34/4.333/C35</f>
        <v>28.149938659249091</v>
      </c>
      <c r="D36" s="20"/>
      <c r="E36" s="21" t="s">
        <v>132</v>
      </c>
      <c r="F36" s="37">
        <f>IF(F34=0,SUM(F27:F31),F34)</f>
        <v>18</v>
      </c>
      <c r="G36" s="38">
        <f>IF(F34=0,F36*C31/60,F34*C31/60)</f>
        <v>0.3</v>
      </c>
      <c r="H36" s="20"/>
      <c r="I36" s="22"/>
    </row>
    <row r="37" spans="1:12" x14ac:dyDescent="0.25">
      <c r="B37" s="36"/>
      <c r="C37" s="39"/>
      <c r="D37" s="20"/>
      <c r="E37" s="40"/>
      <c r="F37" s="26"/>
      <c r="G37" s="26"/>
      <c r="H37" s="20"/>
      <c r="I37" s="22"/>
    </row>
    <row r="38" spans="1:12" x14ac:dyDescent="0.25">
      <c r="B38" s="23" t="s">
        <v>134</v>
      </c>
      <c r="C38" s="39"/>
      <c r="D38" s="20"/>
      <c r="E38" s="40"/>
      <c r="F38" s="26"/>
      <c r="G38" s="26"/>
      <c r="H38" s="20"/>
      <c r="I38" s="22"/>
    </row>
    <row r="39" spans="1:12" x14ac:dyDescent="0.25">
      <c r="B39" s="23" t="s">
        <v>135</v>
      </c>
      <c r="C39" s="62"/>
      <c r="D39" s="20"/>
      <c r="E39" s="21"/>
      <c r="F39" s="20"/>
      <c r="G39" s="41"/>
      <c r="H39" s="20" t="s">
        <v>56</v>
      </c>
      <c r="I39" s="24">
        <f>C39*C32*12</f>
        <v>0</v>
      </c>
    </row>
    <row r="40" spans="1:12" ht="14.45" customHeight="1" x14ac:dyDescent="0.25">
      <c r="B40" s="23"/>
      <c r="C40" s="39"/>
      <c r="D40" s="20"/>
      <c r="E40" s="21"/>
      <c r="F40" s="20"/>
      <c r="G40" s="41"/>
      <c r="H40" s="20"/>
      <c r="I40" s="35"/>
    </row>
    <row r="41" spans="1:12" ht="14.45" customHeight="1" x14ac:dyDescent="0.25">
      <c r="B41" s="50" t="s">
        <v>72</v>
      </c>
      <c r="C41" s="51"/>
      <c r="D41" s="51"/>
      <c r="E41" s="51"/>
      <c r="F41" s="51"/>
      <c r="G41" s="52"/>
      <c r="H41" s="20"/>
      <c r="I41" s="35"/>
    </row>
    <row r="42" spans="1:12" ht="45" customHeight="1" x14ac:dyDescent="0.25">
      <c r="A42" s="9"/>
      <c r="B42" s="83" t="s">
        <v>152</v>
      </c>
      <c r="C42" s="84"/>
      <c r="D42" s="84"/>
      <c r="E42" s="84"/>
      <c r="F42" s="84"/>
      <c r="G42" s="84"/>
      <c r="H42" s="29"/>
      <c r="I42" s="35"/>
      <c r="K42" s="70" t="s">
        <v>76</v>
      </c>
      <c r="L42" s="71" t="s">
        <v>91</v>
      </c>
    </row>
    <row r="43" spans="1:12" x14ac:dyDescent="0.25">
      <c r="A43" s="9"/>
      <c r="B43" s="10"/>
      <c r="C43" s="11"/>
      <c r="D43" s="11"/>
      <c r="E43" s="11"/>
      <c r="F43" s="11"/>
      <c r="G43" s="12"/>
      <c r="H43" s="13" t="s">
        <v>55</v>
      </c>
      <c r="I43" s="58">
        <f>IF(F34=0, SUM(I27:I31, I39), (G36*C36*C32*12)+I39)</f>
        <v>50669.889586648365</v>
      </c>
      <c r="K43" s="68">
        <f>$I$43*VLOOKUP($H$2,$B$547:$C$549,2,)</f>
        <v>50669.889586648365</v>
      </c>
      <c r="L43" s="68">
        <f>$I$43*VLOOKUP($H$2,$B$547:$C$549,2,)*100/VLOOKUP($C$2,$B$555:$C$597,2,)</f>
        <v>50669.889586648365</v>
      </c>
    </row>
    <row r="49" spans="2:12" x14ac:dyDescent="0.25">
      <c r="B49" s="15" t="s">
        <v>66</v>
      </c>
      <c r="C49" s="16"/>
      <c r="D49" s="16"/>
      <c r="E49" s="17"/>
      <c r="F49" s="16"/>
      <c r="G49" s="16"/>
      <c r="H49" s="16"/>
      <c r="I49" s="18"/>
    </row>
    <row r="50" spans="2:12" x14ac:dyDescent="0.25">
      <c r="B50" s="19"/>
      <c r="C50" s="20"/>
      <c r="D50" s="20"/>
      <c r="E50" s="21"/>
      <c r="F50" s="20"/>
      <c r="G50" s="20"/>
      <c r="H50" s="20"/>
      <c r="I50" s="22"/>
    </row>
    <row r="51" spans="2:12" x14ac:dyDescent="0.25">
      <c r="B51" s="19" t="s">
        <v>64</v>
      </c>
      <c r="C51" s="24">
        <f>C36+(C16*F16*12/52/C35)</f>
        <v>28.149938659249091</v>
      </c>
      <c r="D51" s="20"/>
      <c r="E51" s="21"/>
      <c r="F51" s="20"/>
      <c r="G51" s="20"/>
      <c r="H51" s="20"/>
      <c r="I51" s="22"/>
    </row>
    <row r="52" spans="2:12" x14ac:dyDescent="0.25">
      <c r="B52" s="19" t="s">
        <v>65</v>
      </c>
      <c r="C52" s="24">
        <f>I23</f>
        <v>15842.666666666666</v>
      </c>
      <c r="D52" s="20"/>
      <c r="E52" s="21"/>
      <c r="F52" s="20"/>
      <c r="G52" s="20"/>
      <c r="H52" s="20"/>
      <c r="I52" s="22"/>
    </row>
    <row r="53" spans="2:12" x14ac:dyDescent="0.25">
      <c r="B53" s="23" t="s">
        <v>67</v>
      </c>
      <c r="C53" s="24">
        <f>G36*C36+C39</f>
        <v>8.4449815977747278</v>
      </c>
      <c r="D53" s="20"/>
      <c r="E53" s="20"/>
      <c r="F53" s="20"/>
      <c r="G53" s="20"/>
      <c r="H53" s="20"/>
      <c r="I53" s="22"/>
    </row>
    <row r="54" spans="2:12" x14ac:dyDescent="0.25">
      <c r="B54" s="19"/>
      <c r="C54" s="20"/>
      <c r="D54" s="20"/>
      <c r="E54" s="21"/>
      <c r="F54" s="20"/>
      <c r="G54" s="20"/>
      <c r="H54" s="20"/>
      <c r="I54" s="22"/>
    </row>
    <row r="55" spans="2:12" x14ac:dyDescent="0.25">
      <c r="B55" s="19" t="s">
        <v>68</v>
      </c>
      <c r="C55" s="24">
        <f>C32*12</f>
        <v>6000</v>
      </c>
      <c r="D55" s="20"/>
      <c r="E55" s="21"/>
      <c r="F55" s="20"/>
      <c r="G55" s="20"/>
      <c r="H55" s="20"/>
      <c r="I55" s="22"/>
    </row>
    <row r="56" spans="2:12" x14ac:dyDescent="0.25">
      <c r="B56" s="19" t="s">
        <v>69</v>
      </c>
      <c r="C56" s="24">
        <f>C55*C31</f>
        <v>6000</v>
      </c>
      <c r="D56" s="20"/>
      <c r="E56" s="21"/>
      <c r="F56" s="20"/>
      <c r="G56" s="20"/>
      <c r="H56" s="20"/>
      <c r="I56" s="22"/>
    </row>
    <row r="57" spans="2:12" x14ac:dyDescent="0.25">
      <c r="B57" s="19"/>
      <c r="C57" s="25"/>
      <c r="D57" s="20"/>
      <c r="E57" s="21"/>
      <c r="F57" s="20"/>
      <c r="G57" s="20"/>
      <c r="H57" s="20"/>
      <c r="I57" s="22"/>
      <c r="K57" s="70" t="s">
        <v>76</v>
      </c>
      <c r="L57" s="71" t="s">
        <v>91</v>
      </c>
    </row>
    <row r="58" spans="2:12" x14ac:dyDescent="0.25">
      <c r="B58" s="19"/>
      <c r="C58" s="20"/>
      <c r="D58" s="20"/>
      <c r="E58" s="21"/>
      <c r="F58" s="20"/>
      <c r="G58" s="20"/>
      <c r="H58" s="26"/>
      <c r="I58" s="27"/>
    </row>
    <row r="59" spans="2:12" x14ac:dyDescent="0.25">
      <c r="B59" s="28" t="s">
        <v>71</v>
      </c>
      <c r="C59" s="58">
        <f>C53+(C52/C55)</f>
        <v>11.085426042219172</v>
      </c>
      <c r="D59" s="20"/>
      <c r="E59" s="21"/>
      <c r="F59" s="20"/>
      <c r="G59" s="20"/>
      <c r="H59" s="29" t="s">
        <v>59</v>
      </c>
      <c r="I59" s="58">
        <f>C53*C55+C52</f>
        <v>66512.556253315037</v>
      </c>
      <c r="K59" s="68">
        <f>$I$59*VLOOKUP($H$2,$B$547:$C$549,2,)</f>
        <v>66512.556253315037</v>
      </c>
      <c r="L59" s="68">
        <f>$I$59*VLOOKUP($H$2,$B$547:$C$549,2,)*100/VLOOKUP($C$2,$B$555:$C$597,2,)</f>
        <v>66512.556253315037</v>
      </c>
    </row>
    <row r="60" spans="2:12" x14ac:dyDescent="0.25">
      <c r="B60" s="30" t="s">
        <v>70</v>
      </c>
      <c r="C60" s="58">
        <f>C59/C31</f>
        <v>11.085426042219172</v>
      </c>
      <c r="D60" s="12"/>
      <c r="E60" s="31"/>
      <c r="F60" s="12"/>
      <c r="G60" s="12"/>
      <c r="H60" s="12"/>
      <c r="I60" s="27"/>
    </row>
    <row r="62" spans="2:12" x14ac:dyDescent="0.25">
      <c r="C62" s="66" t="s">
        <v>76</v>
      </c>
      <c r="D62" s="67" t="s">
        <v>91</v>
      </c>
    </row>
    <row r="63" spans="2:12" x14ac:dyDescent="0.25">
      <c r="B63" s="44" t="s">
        <v>71</v>
      </c>
      <c r="C63" s="68">
        <f>$C$59*VLOOKUP($H$2,$B$547:$C$549,2,)</f>
        <v>11.085426042219172</v>
      </c>
      <c r="D63" s="68">
        <f>$C$59*VLOOKUP($H$2,$B$547:$C$549,2,)*100/VLOOKUP($C$2,$B$555:$C$597,2,)</f>
        <v>11.085426042219172</v>
      </c>
    </row>
    <row r="64" spans="2:12" x14ac:dyDescent="0.25">
      <c r="B64" s="44" t="s">
        <v>70</v>
      </c>
      <c r="C64" s="69">
        <f>$C$60*VLOOKUP($H$2,$B$547:$C$549,2,)</f>
        <v>11.085426042219172</v>
      </c>
      <c r="D64" s="69">
        <f>$C$60*VLOOKUP($H$2,$B$547:$C$549,2,)*100/VLOOKUP($C$2,$B$555:$C$597,2,)</f>
        <v>11.085426042219172</v>
      </c>
    </row>
    <row r="517" spans="2:21" x14ac:dyDescent="0.25">
      <c r="B517" s="14" t="s">
        <v>50</v>
      </c>
    </row>
    <row r="520" spans="2:21" x14ac:dyDescent="0.25">
      <c r="B520" s="14" t="s">
        <v>31</v>
      </c>
      <c r="E520" s="33" t="s">
        <v>33</v>
      </c>
      <c r="H520" s="33" t="s">
        <v>34</v>
      </c>
      <c r="J520" s="33" t="s">
        <v>35</v>
      </c>
      <c r="M520" s="33" t="s">
        <v>36</v>
      </c>
      <c r="P520" s="14" t="s">
        <v>38</v>
      </c>
      <c r="Q520" s="33"/>
      <c r="U520" s="14" t="s">
        <v>49</v>
      </c>
    </row>
    <row r="521" spans="2:21" x14ac:dyDescent="0.25">
      <c r="B521" s="34" t="s">
        <v>137</v>
      </c>
      <c r="E521" s="33" t="s">
        <v>15</v>
      </c>
      <c r="H521" s="33">
        <v>1</v>
      </c>
      <c r="J521" s="33" t="s">
        <v>41</v>
      </c>
      <c r="M521" s="33" t="s">
        <v>1</v>
      </c>
      <c r="P521" s="14">
        <v>0</v>
      </c>
      <c r="U521" s="14" t="s">
        <v>10</v>
      </c>
    </row>
    <row r="522" spans="2:21" x14ac:dyDescent="0.25">
      <c r="B522" s="34" t="s">
        <v>18</v>
      </c>
      <c r="E522" s="33" t="s">
        <v>16</v>
      </c>
      <c r="H522" s="33">
        <v>10</v>
      </c>
      <c r="J522" s="33" t="s">
        <v>42</v>
      </c>
      <c r="M522" s="33" t="s">
        <v>2</v>
      </c>
      <c r="P522" s="14">
        <v>1</v>
      </c>
      <c r="U522" s="14" t="s">
        <v>12</v>
      </c>
    </row>
    <row r="523" spans="2:21" x14ac:dyDescent="0.25">
      <c r="B523" s="34" t="s">
        <v>4</v>
      </c>
      <c r="E523" s="33" t="s">
        <v>17</v>
      </c>
      <c r="H523" s="33">
        <v>50</v>
      </c>
      <c r="J523" s="33" t="s">
        <v>43</v>
      </c>
      <c r="M523" s="33" t="s">
        <v>3</v>
      </c>
      <c r="P523" s="14">
        <v>2</v>
      </c>
      <c r="U523" s="14" t="s">
        <v>80</v>
      </c>
    </row>
    <row r="524" spans="2:21" x14ac:dyDescent="0.25">
      <c r="B524" s="34" t="s">
        <v>5</v>
      </c>
      <c r="E524" s="33" t="s">
        <v>0</v>
      </c>
      <c r="H524" s="33">
        <v>100</v>
      </c>
      <c r="P524" s="14">
        <v>3</v>
      </c>
      <c r="U524" s="14" t="s">
        <v>11</v>
      </c>
    </row>
    <row r="525" spans="2:21" x14ac:dyDescent="0.25">
      <c r="B525" s="34" t="s">
        <v>6</v>
      </c>
      <c r="E525" s="14"/>
      <c r="H525" s="33">
        <v>500</v>
      </c>
      <c r="P525" s="14">
        <v>4</v>
      </c>
      <c r="U525" s="14" t="s">
        <v>82</v>
      </c>
    </row>
    <row r="526" spans="2:21" x14ac:dyDescent="0.25">
      <c r="B526" s="34" t="s">
        <v>9</v>
      </c>
      <c r="E526" s="14"/>
      <c r="H526" s="33">
        <v>1000</v>
      </c>
      <c r="P526" s="14">
        <v>5</v>
      </c>
      <c r="U526" s="14" t="s">
        <v>81</v>
      </c>
    </row>
    <row r="527" spans="2:21" x14ac:dyDescent="0.25">
      <c r="B527" s="34" t="s">
        <v>7</v>
      </c>
      <c r="E527" s="14"/>
      <c r="H527" s="33">
        <v>5000</v>
      </c>
      <c r="P527" s="14">
        <v>6</v>
      </c>
      <c r="U527" s="14" t="s">
        <v>13</v>
      </c>
    </row>
    <row r="528" spans="2:21" x14ac:dyDescent="0.25">
      <c r="B528" s="34" t="s">
        <v>8</v>
      </c>
      <c r="E528" s="14"/>
      <c r="H528" s="33">
        <v>10000</v>
      </c>
      <c r="P528" s="14">
        <v>7</v>
      </c>
    </row>
    <row r="529" spans="2:16" x14ac:dyDescent="0.25">
      <c r="B529" s="34" t="s">
        <v>19</v>
      </c>
      <c r="E529" s="14"/>
      <c r="H529" s="33">
        <v>50000</v>
      </c>
      <c r="P529" s="14">
        <v>8</v>
      </c>
    </row>
    <row r="530" spans="2:16" x14ac:dyDescent="0.25">
      <c r="B530" s="34" t="s">
        <v>0</v>
      </c>
      <c r="E530" s="14"/>
      <c r="H530" s="33">
        <v>100000</v>
      </c>
      <c r="P530" s="14">
        <v>9</v>
      </c>
    </row>
    <row r="531" spans="2:16" x14ac:dyDescent="0.25">
      <c r="E531" s="14"/>
      <c r="H531" s="33"/>
      <c r="P531" s="14">
        <v>10</v>
      </c>
    </row>
    <row r="532" spans="2:16" x14ac:dyDescent="0.25">
      <c r="E532" s="14"/>
    </row>
    <row r="533" spans="2:16" x14ac:dyDescent="0.25">
      <c r="E533" s="14"/>
    </row>
    <row r="539" spans="2:16" x14ac:dyDescent="0.25">
      <c r="B539" s="14" t="s">
        <v>78</v>
      </c>
    </row>
    <row r="541" spans="2:16" x14ac:dyDescent="0.25">
      <c r="B541" s="14" t="s">
        <v>83</v>
      </c>
    </row>
    <row r="542" spans="2:16" x14ac:dyDescent="0.25">
      <c r="B542" s="34" t="s">
        <v>76</v>
      </c>
      <c r="E542" s="34"/>
      <c r="F542" s="34"/>
      <c r="G542" s="34"/>
      <c r="H542" s="34"/>
    </row>
    <row r="543" spans="2:16" x14ac:dyDescent="0.25">
      <c r="B543" s="34" t="s">
        <v>75</v>
      </c>
      <c r="E543" s="34"/>
      <c r="F543" s="34"/>
      <c r="G543" s="34"/>
      <c r="H543" s="34"/>
    </row>
    <row r="544" spans="2:16" x14ac:dyDescent="0.25">
      <c r="B544" s="34" t="s">
        <v>77</v>
      </c>
      <c r="C544" s="34"/>
      <c r="D544" s="34"/>
      <c r="E544" s="34"/>
      <c r="F544" s="34"/>
      <c r="G544" s="34"/>
      <c r="H544" s="34"/>
    </row>
    <row r="545" spans="2:8" x14ac:dyDescent="0.25">
      <c r="C545" s="34"/>
      <c r="D545" s="34"/>
      <c r="E545" s="34"/>
      <c r="F545" s="34"/>
      <c r="G545" s="34"/>
      <c r="H545" s="34"/>
    </row>
    <row r="546" spans="2:8" x14ac:dyDescent="0.25">
      <c r="B546" s="56" t="s">
        <v>90</v>
      </c>
      <c r="C546" s="56" t="s">
        <v>79</v>
      </c>
      <c r="D546" s="56"/>
      <c r="E546" s="34"/>
      <c r="H546" s="34"/>
    </row>
    <row r="547" spans="2:8" x14ac:dyDescent="0.25">
      <c r="B547" s="34" t="s">
        <v>76</v>
      </c>
      <c r="C547" s="78">
        <v>1</v>
      </c>
      <c r="D547" s="34"/>
      <c r="E547" s="34"/>
      <c r="F547" s="34"/>
      <c r="G547" s="34"/>
      <c r="H547" s="34"/>
    </row>
    <row r="548" spans="2:8" x14ac:dyDescent="0.25">
      <c r="B548" s="34" t="s">
        <v>75</v>
      </c>
      <c r="C548" s="78">
        <v>1.1355900000000001</v>
      </c>
      <c r="D548" s="78"/>
      <c r="E548" s="34"/>
      <c r="F548" s="34"/>
      <c r="G548" s="34"/>
      <c r="H548" s="34"/>
    </row>
    <row r="549" spans="2:8" x14ac:dyDescent="0.25">
      <c r="B549" s="34" t="s">
        <v>77</v>
      </c>
      <c r="C549" s="55">
        <v>0.89676</v>
      </c>
    </row>
    <row r="552" spans="2:8" x14ac:dyDescent="0.25">
      <c r="B552" s="56" t="s">
        <v>92</v>
      </c>
      <c r="C552" s="72"/>
    </row>
    <row r="553" spans="2:8" x14ac:dyDescent="0.25">
      <c r="B553" s="79" t="s">
        <v>145</v>
      </c>
    </row>
    <row r="555" spans="2:8" x14ac:dyDescent="0.25">
      <c r="B555" s="64" t="s">
        <v>89</v>
      </c>
      <c r="C555" s="63">
        <v>100</v>
      </c>
    </row>
    <row r="556" spans="2:8" x14ac:dyDescent="0.25">
      <c r="B556" s="14" t="s">
        <v>93</v>
      </c>
      <c r="C556" s="14">
        <v>100</v>
      </c>
    </row>
    <row r="557" spans="2:8" x14ac:dyDescent="0.25">
      <c r="B557" s="14" t="s">
        <v>84</v>
      </c>
      <c r="C557" s="14">
        <v>110.8</v>
      </c>
    </row>
    <row r="558" spans="2:8" x14ac:dyDescent="0.25">
      <c r="B558" s="14" t="s">
        <v>94</v>
      </c>
      <c r="C558" s="14">
        <v>49.6</v>
      </c>
    </row>
    <row r="559" spans="2:8" x14ac:dyDescent="0.25">
      <c r="B559" s="14" t="s">
        <v>95</v>
      </c>
      <c r="C559" s="14">
        <v>68.2</v>
      </c>
    </row>
    <row r="560" spans="2:8" x14ac:dyDescent="0.25">
      <c r="B560" s="14" t="s">
        <v>96</v>
      </c>
      <c r="C560" s="14">
        <v>138.9</v>
      </c>
    </row>
    <row r="561" spans="2:3" x14ac:dyDescent="0.25">
      <c r="B561" s="14" t="s">
        <v>97</v>
      </c>
      <c r="C561" s="14">
        <v>104</v>
      </c>
    </row>
    <row r="562" spans="2:3" x14ac:dyDescent="0.25">
      <c r="B562" s="14" t="s">
        <v>88</v>
      </c>
      <c r="C562" s="14">
        <v>78.099999999999994</v>
      </c>
    </row>
    <row r="563" spans="2:3" x14ac:dyDescent="0.25">
      <c r="B563" s="14" t="s">
        <v>98</v>
      </c>
      <c r="C563" s="14">
        <v>127.2</v>
      </c>
    </row>
    <row r="564" spans="2:3" x14ac:dyDescent="0.25">
      <c r="B564" s="14" t="s">
        <v>99</v>
      </c>
      <c r="C564" s="14">
        <v>85.4</v>
      </c>
    </row>
    <row r="565" spans="2:3" x14ac:dyDescent="0.25">
      <c r="B565" s="14" t="s">
        <v>100</v>
      </c>
      <c r="C565" s="14">
        <v>92.5</v>
      </c>
    </row>
    <row r="566" spans="2:3" x14ac:dyDescent="0.25">
      <c r="B566" s="14" t="s">
        <v>86</v>
      </c>
      <c r="C566" s="14">
        <v>109.5</v>
      </c>
    </row>
    <row r="567" spans="2:3" x14ac:dyDescent="0.25">
      <c r="B567" s="14" t="s">
        <v>101</v>
      </c>
      <c r="C567" s="14">
        <v>67.400000000000006</v>
      </c>
    </row>
    <row r="568" spans="2:3" x14ac:dyDescent="0.25">
      <c r="B568" s="14" t="s">
        <v>102</v>
      </c>
      <c r="C568" s="14">
        <v>100.9</v>
      </c>
    </row>
    <row r="569" spans="2:3" x14ac:dyDescent="0.25">
      <c r="B569" s="14" t="s">
        <v>103</v>
      </c>
      <c r="C569" s="14">
        <v>89.5</v>
      </c>
    </row>
    <row r="570" spans="2:3" x14ac:dyDescent="0.25">
      <c r="B570" s="14" t="s">
        <v>104</v>
      </c>
      <c r="C570" s="14">
        <v>72.8</v>
      </c>
    </row>
    <row r="571" spans="2:3" x14ac:dyDescent="0.25">
      <c r="B571" s="14" t="s">
        <v>105</v>
      </c>
      <c r="C571" s="14">
        <v>64.5</v>
      </c>
    </row>
    <row r="572" spans="2:3" x14ac:dyDescent="0.25">
      <c r="B572" s="14" t="s">
        <v>106</v>
      </c>
      <c r="C572" s="14">
        <v>125.9</v>
      </c>
    </row>
    <row r="573" spans="2:3" x14ac:dyDescent="0.25">
      <c r="B573" s="14" t="s">
        <v>107</v>
      </c>
      <c r="C573" s="14">
        <v>63</v>
      </c>
    </row>
    <row r="574" spans="2:3" x14ac:dyDescent="0.25">
      <c r="B574" s="14" t="s">
        <v>108</v>
      </c>
      <c r="C574" s="14">
        <v>81.7</v>
      </c>
    </row>
    <row r="575" spans="2:3" x14ac:dyDescent="0.25">
      <c r="B575" s="14" t="s">
        <v>87</v>
      </c>
      <c r="C575" s="14">
        <v>112.1</v>
      </c>
    </row>
    <row r="576" spans="2:3" x14ac:dyDescent="0.25">
      <c r="B576" s="14" t="s">
        <v>109</v>
      </c>
      <c r="C576" s="14">
        <v>108.6</v>
      </c>
    </row>
    <row r="577" spans="2:3" x14ac:dyDescent="0.25">
      <c r="B577" s="14" t="s">
        <v>110</v>
      </c>
      <c r="C577" s="14">
        <v>56.7</v>
      </c>
    </row>
    <row r="578" spans="2:3" x14ac:dyDescent="0.25">
      <c r="B578" s="14" t="s">
        <v>111</v>
      </c>
      <c r="C578" s="14">
        <v>86</v>
      </c>
    </row>
    <row r="579" spans="2:3" x14ac:dyDescent="0.25">
      <c r="B579" s="14" t="s">
        <v>112</v>
      </c>
      <c r="C579" s="14">
        <v>52.6</v>
      </c>
    </row>
    <row r="580" spans="2:3" x14ac:dyDescent="0.25">
      <c r="B580" s="14" t="s">
        <v>113</v>
      </c>
      <c r="C580" s="14">
        <v>83.8</v>
      </c>
    </row>
    <row r="581" spans="2:3" x14ac:dyDescent="0.25">
      <c r="B581" s="14" t="s">
        <v>114</v>
      </c>
      <c r="C581" s="14">
        <v>69.8</v>
      </c>
    </row>
    <row r="582" spans="2:3" x14ac:dyDescent="0.25">
      <c r="B582" s="14" t="s">
        <v>85</v>
      </c>
      <c r="C582" s="14">
        <v>122.4</v>
      </c>
    </row>
    <row r="583" spans="2:3" x14ac:dyDescent="0.25">
      <c r="B583" s="14" t="s">
        <v>115</v>
      </c>
      <c r="C583" s="14">
        <v>125.5</v>
      </c>
    </row>
    <row r="584" spans="2:3" x14ac:dyDescent="0.25">
      <c r="B584" s="14" t="s">
        <v>116</v>
      </c>
      <c r="C584" s="14">
        <v>116.4</v>
      </c>
    </row>
    <row r="585" spans="2:3" x14ac:dyDescent="0.25">
      <c r="B585" s="14" t="s">
        <v>117</v>
      </c>
      <c r="C585" s="14">
        <v>166.1</v>
      </c>
    </row>
    <row r="586" spans="2:3" x14ac:dyDescent="0.25">
      <c r="B586" s="14" t="s">
        <v>118</v>
      </c>
      <c r="C586" s="32" t="s">
        <v>119</v>
      </c>
    </row>
    <row r="587" spans="2:3" x14ac:dyDescent="0.25">
      <c r="B587" s="14" t="s">
        <v>120</v>
      </c>
      <c r="C587" s="14">
        <v>149.5</v>
      </c>
    </row>
    <row r="588" spans="2:3" x14ac:dyDescent="0.25">
      <c r="B588" s="14" t="s">
        <v>121</v>
      </c>
      <c r="C588" s="14">
        <v>159.9</v>
      </c>
    </row>
    <row r="589" spans="2:3" x14ac:dyDescent="0.25">
      <c r="B589" s="14" t="s">
        <v>122</v>
      </c>
      <c r="C589" s="14">
        <v>55.6</v>
      </c>
    </row>
    <row r="590" spans="2:3" x14ac:dyDescent="0.25">
      <c r="B590" s="14" t="s">
        <v>123</v>
      </c>
      <c r="C590" s="14">
        <v>47.9</v>
      </c>
    </row>
    <row r="591" spans="2:3" x14ac:dyDescent="0.25">
      <c r="B591" s="14" t="s">
        <v>124</v>
      </c>
      <c r="C591" s="14">
        <v>49.8</v>
      </c>
    </row>
    <row r="592" spans="2:3" x14ac:dyDescent="0.25">
      <c r="B592" s="14" t="s">
        <v>125</v>
      </c>
      <c r="C592" s="14">
        <v>51.9</v>
      </c>
    </row>
    <row r="593" spans="2:3" x14ac:dyDescent="0.25">
      <c r="B593" s="14" t="s">
        <v>126</v>
      </c>
      <c r="C593" s="14">
        <v>52.7</v>
      </c>
    </row>
    <row r="594" spans="2:3" x14ac:dyDescent="0.25">
      <c r="B594" s="14" t="s">
        <v>127</v>
      </c>
      <c r="C594" s="14">
        <v>52</v>
      </c>
    </row>
    <row r="595" spans="2:3" x14ac:dyDescent="0.25">
      <c r="B595" s="14" t="s">
        <v>128</v>
      </c>
      <c r="C595" s="14">
        <v>52.1</v>
      </c>
    </row>
    <row r="596" spans="2:3" x14ac:dyDescent="0.25">
      <c r="B596" s="14" t="s">
        <v>129</v>
      </c>
      <c r="C596" s="14">
        <v>114.4</v>
      </c>
    </row>
    <row r="597" spans="2:3" x14ac:dyDescent="0.25">
      <c r="B597" s="14" t="s">
        <v>130</v>
      </c>
      <c r="C597" s="14">
        <v>110.8</v>
      </c>
    </row>
  </sheetData>
  <sheetProtection password="D792" sheet="1" selectLockedCells="1"/>
  <protectedRanges>
    <protectedRange sqref="B2 D2:F3 H2" name="Headings"/>
  </protectedRanges>
  <mergeCells count="9">
    <mergeCell ref="F25:F26"/>
    <mergeCell ref="G25:G26"/>
    <mergeCell ref="B42:G42"/>
    <mergeCell ref="D2:F2"/>
    <mergeCell ref="D3:F3"/>
    <mergeCell ref="B9:G9"/>
    <mergeCell ref="E19:F19"/>
    <mergeCell ref="E20:F20"/>
    <mergeCell ref="B22:G22"/>
  </mergeCells>
  <conditionalFormatting sqref="C6 F6 I10 I14:I18 F16:F18 I23 C34 I27:I31 I39 I43 C52:C53 C59 I59">
    <cfRule type="expression" dxfId="119" priority="10">
      <formula>$H$2="£ Sterling"</formula>
    </cfRule>
  </conditionalFormatting>
  <conditionalFormatting sqref="C6 F6 I10 I14:I18 F16:F18 I23 C34 I27:I31 I39 I43 C52:C53 C59 I59">
    <cfRule type="expression" dxfId="118" priority="9">
      <formula>$H$2="$ US Dollars"</formula>
    </cfRule>
  </conditionalFormatting>
  <conditionalFormatting sqref="C6 F6 I10 I14:I18 F16:F18 I23 C34 I27:I31 I39 I43 C52:C53 C59 I59">
    <cfRule type="expression" dxfId="117" priority="8">
      <formula>$H$2="€ Euros"</formula>
    </cfRule>
  </conditionalFormatting>
  <conditionalFormatting sqref="F15 C36 C39 C51 C60">
    <cfRule type="expression" dxfId="116" priority="5">
      <formula>$H$2="$ US Dollars"</formula>
    </cfRule>
    <cfRule type="expression" dxfId="115" priority="6">
      <formula>$H$2="£ Sterling"</formula>
    </cfRule>
    <cfRule type="expression" dxfId="114" priority="7">
      <formula>$H$2="€ Euros"</formula>
    </cfRule>
  </conditionalFormatting>
  <conditionalFormatting sqref="L12">
    <cfRule type="expression" dxfId="113" priority="4">
      <formula>$H$2="€ Euros"</formula>
    </cfRule>
  </conditionalFormatting>
  <conditionalFormatting sqref="C7">
    <cfRule type="expression" dxfId="112" priority="3">
      <formula>$H$2="£ Sterling"</formula>
    </cfRule>
  </conditionalFormatting>
  <conditionalFormatting sqref="C7">
    <cfRule type="expression" dxfId="111" priority="2">
      <formula>$H$2="$ US Dollars"</formula>
    </cfRule>
  </conditionalFormatting>
  <conditionalFormatting sqref="C7">
    <cfRule type="expression" dxfId="110" priority="1">
      <formula>$H$2="€ Euros"</formula>
    </cfRule>
  </conditionalFormatting>
  <dataValidations count="21">
    <dataValidation type="decimal" showInputMessage="1" showErrorMessage="1" prompt="Enter value between 0 and 20 for number of fixed staff supporting the facility i.e., even if no digitisation is occurring. Part FTE allowed." sqref="C16" xr:uid="{D4E851A0-1FDE-4BAD-993E-DCA8EA8C13D7}">
      <formula1>0</formula1>
      <formula2>20</formula2>
    </dataValidation>
    <dataValidation type="decimal" allowBlank="1" showInputMessage="1" showErrorMessage="1" prompt="Enter depreciation period in years (straight line depreciation will be used)" sqref="C14" xr:uid="{9D50791E-BE85-4C9E-9F9F-4D8035937DA9}">
      <formula1>1</formula1>
      <formula2>7</formula2>
    </dataValidation>
    <dataValidation allowBlank="1" showInputMessage="1" showErrorMessage="1" prompt="Enter room area of your digitisation facility" sqref="C15" xr:uid="{1BE4FAB2-0334-4096-8C72-BB9EF658B5B1}"/>
    <dataValidation allowBlank="1" showInputMessage="1" showErrorMessage="1" prompt="Enter monthly average gross salary for number of staff selected above" sqref="C34" xr:uid="{CEE45431-F3AB-4E30-BD80-743BF6407636}"/>
    <dataValidation allowBlank="1" showInputMessage="1" showErrorMessage="1" prompt="Number of hours in working week (change if necessary)" sqref="C35" xr:uid="{BE8A44FD-035F-4400-AE5C-6F09A537B071}"/>
    <dataValidation allowBlank="1" showInputMessage="1" showErrorMessage="1" prompt="Only enter a value here if you do not know the split across the above 5 task clusters" sqref="F34" xr:uid="{607496F5-AC93-4F01-9D4A-D5E660136FC6}"/>
    <dataValidation allowBlank="1" showInputMessage="1" showErrorMessage="1" prompt="Enter in minutes. Add up for all persons involved. See Instructions sheet for explanation of the tasks_x000a_" sqref="F27:F31" xr:uid="{13FC45AE-DD0A-4D41-B8A8-38D9643EC966}"/>
    <dataValidation allowBlank="1" showInputMessage="1" showErrorMessage="1" prompt="This cell not currently used" sqref="C17" xr:uid="{EED0F99D-FB6B-48FF-88BB-FC2AC0146BD0}"/>
    <dataValidation type="list" allowBlank="1" showInputMessage="1" showErrorMessage="1" prompt="Choose type of workflow" sqref="B28" xr:uid="{B7D3359C-DAF9-440E-BD46-700E69B6FEBB}">
      <formula1>$J$520:$J$523</formula1>
    </dataValidation>
    <dataValidation type="list" allowBlank="1" showInputMessage="1" showErrorMessage="1" prompt="Choose type of process" sqref="B29" xr:uid="{DCAE57E2-50C6-4A17-82E0-7A2394AC4C41}">
      <formula1>$M$520:$M$523</formula1>
    </dataValidation>
    <dataValidation type="list" allowBlank="1" showInputMessage="1" showErrorMessage="1" prompt="Select number of staff needed for digitisation (additional to number of fixed staff, above)" sqref="C33" xr:uid="{33C1BBDC-C7E5-469A-A84B-E29B66FD2ADD}">
      <formula1>$P$520:$P$532</formula1>
    </dataValidation>
    <dataValidation type="list" allowBlank="1" showInputMessage="1" showErrorMessage="1" prompt="Choose unit of digitisation" sqref="B30" xr:uid="{4A46DCDE-F2CC-48EF-B522-C498100D908E}">
      <formula1>$E$520:$E$524</formula1>
    </dataValidation>
    <dataValidation type="list" errorStyle="information" allowBlank="1" showInputMessage="1" prompt="Choose typical batch size (or enter own value)" sqref="C31" xr:uid="{2D3C6969-334F-4B5B-8808-E804154D9B50}">
      <formula1>$H$520:$H$530</formula1>
    </dataValidation>
    <dataValidation type="list" allowBlank="1" showInputMessage="1" showErrorMessage="1" prompt="Choose specimen category" sqref="B27" xr:uid="{873D6D5F-C06F-4814-B563-A1AE2F853147}">
      <formula1>$B$520:$B$530</formula1>
    </dataValidation>
    <dataValidation type="list" allowBlank="1" showInputMessage="1" prompt="Select your institution from the drop-down list, or enter if not listed" sqref="B2:B3" xr:uid="{5F98CABE-784C-477C-9E2E-B5C0AE066632}">
      <formula1>$U$520:$U$527</formula1>
    </dataValidation>
    <dataValidation type="list" allowBlank="1" showInputMessage="1" showErrorMessage="1" prompt="Choose currency to use from dropdown list_x000a_" sqref="H2:H3" xr:uid="{C29F286C-34AB-4302-9D43-C4571B5FCE32}">
      <formula1>$B$541:$B$544</formula1>
    </dataValidation>
    <dataValidation allowBlank="1" showInputMessage="1" showErrorMessage="1" prompt="If applicable, include costs of any upgrade(s) divided over the lifetimeof the digitisation facility e.g., if upgrade cost is €10,000 and lifetime is 5 years, enter €2,000." sqref="C18" xr:uid="{D144EFBC-76DB-40E2-846B-720F89A235B2}"/>
    <dataValidation allowBlank="1" showErrorMessage="1" sqref="B19" xr:uid="{298A136A-04E9-48AD-9894-D434E883DD12}"/>
    <dataValidation allowBlank="1" showInputMessage="1" showErrorMessage="1" prompt="Capital equipment costs include digitisation equipment, furniture, computers, etc." sqref="C6" xr:uid="{33C6F8A7-9A1D-4B81-8576-6DE31A59FD40}"/>
    <dataValidation allowBlank="1" showInputMessage="1" showErrorMessage="1" prompt="Other costs are costs of procurement, making a room ready e.g., decorating, wiring, etc._x000a_" sqref="F6" xr:uid="{61C6E451-C4B1-4019-8B43-3EDC01015681}"/>
    <dataValidation allowBlank="1" showInputMessage="1" showErrorMessage="1" prompt="Include any equipment (capital) upgrade costs during lifetime of facility (but not annual maintenance contracts, licenses, etc.)" sqref="C7" xr:uid="{0E580CA8-6B4E-4AF0-9962-4AAC25C68097}"/>
  </dataValidations>
  <hyperlinks>
    <hyperlink ref="B553" r:id="rId1" xr:uid="{930945CC-A6B8-4442-B5F0-3471CEEEEF1A}"/>
  </hyperlinks>
  <pageMargins left="0.7" right="0.7" top="0.75" bottom="0.75" header="0.3" footer="0.3"/>
  <pageSetup paperSize="9" orientation="portrait" horizontalDpi="4294967293"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6454A-1E85-4238-A295-A3FF598038D7}">
  <dimension ref="A2:AV597"/>
  <sheetViews>
    <sheetView topLeftCell="A28" workbookViewId="0">
      <selection activeCell="B42" sqref="B42:G42"/>
    </sheetView>
  </sheetViews>
  <sheetFormatPr defaultColWidth="8.7109375" defaultRowHeight="15" x14ac:dyDescent="0.25"/>
  <cols>
    <col min="1" max="1" width="1.5703125" style="14" customWidth="1"/>
    <col min="2" max="2" width="55.5703125" style="14" bestFit="1" customWidth="1"/>
    <col min="3" max="3" width="10.28515625" style="14" bestFit="1" customWidth="1"/>
    <col min="4" max="4" width="8.7109375" style="14"/>
    <col min="5" max="5" width="29.85546875" style="32" customWidth="1"/>
    <col min="6" max="6" width="10.28515625" style="14" bestFit="1" customWidth="1"/>
    <col min="7" max="7" width="8.7109375" style="14"/>
    <col min="8" max="8" width="24.85546875" style="14" bestFit="1" customWidth="1"/>
    <col min="9" max="9" width="11.42578125" style="14" bestFit="1" customWidth="1"/>
    <col min="10" max="10" width="1.140625" style="14" customWidth="1"/>
    <col min="11" max="16384" width="8.7109375" style="14"/>
  </cols>
  <sheetData>
    <row r="2" spans="1:14" ht="42.6" customHeight="1" x14ac:dyDescent="0.25">
      <c r="B2" s="1" t="s">
        <v>146</v>
      </c>
      <c r="C2" s="57" t="str">
        <f>_xlfn.SWITCH($B$2, "APM","Belgium","LUOMUS","Finland","MNHN","France","Naturalis","Netherlands","NHMUK","UK","RBGK","UK","UTARTU","Estonia","- -")</f>
        <v>- -</v>
      </c>
      <c r="D2" s="85" t="s">
        <v>147</v>
      </c>
      <c r="E2" s="86"/>
      <c r="F2" s="87"/>
      <c r="H2" s="80" t="s">
        <v>76</v>
      </c>
    </row>
    <row r="3" spans="1:14" ht="42.6" customHeight="1" x14ac:dyDescent="0.25">
      <c r="C3" s="57"/>
      <c r="D3" s="88"/>
      <c r="E3" s="89"/>
      <c r="F3" s="90"/>
    </row>
    <row r="5" spans="1:14" x14ac:dyDescent="0.25">
      <c r="A5" s="9"/>
      <c r="B5" s="15" t="s">
        <v>30</v>
      </c>
      <c r="C5" s="16"/>
      <c r="D5" s="16"/>
      <c r="E5" s="17"/>
      <c r="F5" s="16"/>
      <c r="G5" s="16"/>
      <c r="H5" s="16"/>
      <c r="I5" s="18"/>
    </row>
    <row r="6" spans="1:14" ht="14.45" customHeight="1" x14ac:dyDescent="0.25">
      <c r="A6" s="48"/>
      <c r="B6" s="36" t="s">
        <v>22</v>
      </c>
      <c r="C6" s="2">
        <v>2000</v>
      </c>
      <c r="D6" s="20"/>
      <c r="E6" s="49" t="s">
        <v>54</v>
      </c>
      <c r="F6" s="2"/>
      <c r="G6" s="20"/>
      <c r="H6" s="20"/>
      <c r="I6" s="22"/>
    </row>
    <row r="7" spans="1:14" ht="14.45" customHeight="1" x14ac:dyDescent="0.25">
      <c r="A7" s="9"/>
      <c r="B7" s="36" t="s">
        <v>140</v>
      </c>
      <c r="C7" s="2"/>
      <c r="D7" s="20"/>
      <c r="E7" s="20"/>
      <c r="F7" s="20"/>
      <c r="G7" s="20"/>
      <c r="H7" s="20"/>
      <c r="I7" s="22"/>
    </row>
    <row r="8" spans="1:14" ht="14.45" customHeight="1" x14ac:dyDescent="0.25">
      <c r="A8" s="9"/>
      <c r="B8" s="53" t="s">
        <v>144</v>
      </c>
      <c r="C8" s="20"/>
      <c r="D8" s="20"/>
      <c r="E8" s="20"/>
      <c r="F8" s="20"/>
      <c r="G8" s="20"/>
      <c r="H8" s="20"/>
      <c r="I8" s="22"/>
    </row>
    <row r="9" spans="1:14" ht="45" customHeight="1" x14ac:dyDescent="0.25">
      <c r="A9" s="9"/>
      <c r="B9" s="83" t="s">
        <v>153</v>
      </c>
      <c r="C9" s="84"/>
      <c r="D9" s="84"/>
      <c r="E9" s="84"/>
      <c r="F9" s="84"/>
      <c r="G9" s="84"/>
      <c r="H9" s="29"/>
      <c r="I9" s="35"/>
      <c r="K9" s="70" t="s">
        <v>76</v>
      </c>
      <c r="L9" s="71" t="s">
        <v>91</v>
      </c>
      <c r="M9" s="65"/>
      <c r="N9" s="65"/>
    </row>
    <row r="10" spans="1:14" ht="14.45" customHeight="1" x14ac:dyDescent="0.25">
      <c r="A10" s="9"/>
      <c r="B10" s="10"/>
      <c r="C10" s="11"/>
      <c r="D10" s="11"/>
      <c r="E10" s="11"/>
      <c r="F10" s="11"/>
      <c r="G10" s="12"/>
      <c r="H10" s="46" t="s">
        <v>29</v>
      </c>
      <c r="I10" s="58">
        <f>C6+F6</f>
        <v>2000</v>
      </c>
      <c r="K10" s="68">
        <f>$I$10*VLOOKUP($H$2,$B$547:$C$549,2,)</f>
        <v>2000</v>
      </c>
      <c r="L10" s="68">
        <f>$I$10*VLOOKUP($H$2,$B$547:$C$549,2,)*100/VLOOKUP($C$2,$B$555:$C$597,2,)</f>
        <v>2000</v>
      </c>
    </row>
    <row r="11" spans="1:14" ht="14.45" customHeight="1" x14ac:dyDescent="0.25">
      <c r="A11" s="9"/>
      <c r="B11" s="9"/>
      <c r="C11" s="9"/>
      <c r="D11" s="9"/>
      <c r="E11" s="9"/>
      <c r="F11" s="9"/>
      <c r="G11" s="9"/>
      <c r="H11" s="47"/>
    </row>
    <row r="12" spans="1:14" ht="14.45" customHeight="1" x14ac:dyDescent="0.25">
      <c r="B12" s="15" t="s">
        <v>27</v>
      </c>
      <c r="C12" s="16"/>
      <c r="D12" s="16"/>
      <c r="E12" s="16"/>
      <c r="F12" s="16"/>
      <c r="G12" s="16"/>
      <c r="H12" s="16"/>
      <c r="I12" s="18"/>
    </row>
    <row r="13" spans="1:14" ht="14.45" customHeight="1" x14ac:dyDescent="0.25">
      <c r="B13" s="19"/>
      <c r="C13" s="20"/>
      <c r="D13" s="20"/>
      <c r="E13" s="20"/>
      <c r="F13" s="20"/>
      <c r="G13" s="20"/>
      <c r="H13" s="29" t="s">
        <v>26</v>
      </c>
      <c r="I13" s="22"/>
    </row>
    <row r="14" spans="1:14" x14ac:dyDescent="0.25">
      <c r="A14" s="44"/>
      <c r="B14" s="36" t="s">
        <v>133</v>
      </c>
      <c r="C14" s="2">
        <v>3</v>
      </c>
      <c r="D14" s="20"/>
      <c r="E14" s="21"/>
      <c r="F14" s="20"/>
      <c r="G14" s="20"/>
      <c r="H14" s="20" t="s">
        <v>25</v>
      </c>
      <c r="I14" s="24">
        <f>(C6+C7)/C14</f>
        <v>666.66666666666663</v>
      </c>
    </row>
    <row r="15" spans="1:14" ht="17.25" x14ac:dyDescent="0.25">
      <c r="B15" s="36" t="s">
        <v>20</v>
      </c>
      <c r="C15" s="3">
        <v>12</v>
      </c>
      <c r="D15" s="20"/>
      <c r="E15" s="21" t="s">
        <v>21</v>
      </c>
      <c r="F15" s="59">
        <v>0</v>
      </c>
      <c r="G15" s="20"/>
      <c r="H15" s="20" t="s">
        <v>60</v>
      </c>
      <c r="I15" s="24">
        <f>C15*F15*12</f>
        <v>0</v>
      </c>
    </row>
    <row r="16" spans="1:14" x14ac:dyDescent="0.25">
      <c r="B16" s="36" t="s">
        <v>142</v>
      </c>
      <c r="C16" s="4">
        <v>0</v>
      </c>
      <c r="D16" s="20"/>
      <c r="E16" s="21" t="s">
        <v>141</v>
      </c>
      <c r="F16" s="2">
        <v>4635</v>
      </c>
      <c r="G16" s="20"/>
      <c r="H16" s="20" t="s">
        <v>61</v>
      </c>
      <c r="I16" s="24">
        <f>C16*F16*12</f>
        <v>0</v>
      </c>
    </row>
    <row r="17" spans="1:48" x14ac:dyDescent="0.25">
      <c r="B17" s="36"/>
      <c r="C17" s="76"/>
      <c r="D17" s="20"/>
      <c r="E17" s="21" t="s">
        <v>51</v>
      </c>
      <c r="F17" s="2">
        <v>1158</v>
      </c>
      <c r="G17" s="20"/>
      <c r="H17" s="20" t="s">
        <v>62</v>
      </c>
      <c r="I17" s="24">
        <f>F17*12</f>
        <v>13896</v>
      </c>
    </row>
    <row r="18" spans="1:48" x14ac:dyDescent="0.25">
      <c r="B18" s="36"/>
      <c r="C18" s="77"/>
      <c r="D18" s="20"/>
      <c r="E18" s="21" t="s">
        <v>53</v>
      </c>
      <c r="F18" s="2">
        <v>65</v>
      </c>
      <c r="G18" s="20"/>
      <c r="H18" s="20" t="s">
        <v>52</v>
      </c>
      <c r="I18" s="24">
        <f>F18*12</f>
        <v>780</v>
      </c>
    </row>
    <row r="19" spans="1:48" x14ac:dyDescent="0.25">
      <c r="B19" s="75"/>
      <c r="C19" s="73"/>
      <c r="D19" s="42"/>
      <c r="E19" s="91" t="s">
        <v>138</v>
      </c>
      <c r="F19" s="91"/>
      <c r="G19" s="20"/>
      <c r="H19" s="20"/>
      <c r="I19" s="22"/>
    </row>
    <row r="20" spans="1:48" x14ac:dyDescent="0.25">
      <c r="B20" s="74"/>
      <c r="C20" s="20"/>
      <c r="D20" s="20"/>
      <c r="E20" s="91" t="s">
        <v>139</v>
      </c>
      <c r="F20" s="91"/>
      <c r="G20" s="20"/>
      <c r="H20" s="26"/>
      <c r="I20" s="22"/>
      <c r="AV20" s="33"/>
    </row>
    <row r="21" spans="1:48" x14ac:dyDescent="0.25">
      <c r="B21" s="53" t="s">
        <v>143</v>
      </c>
      <c r="C21" s="20"/>
      <c r="D21" s="20"/>
      <c r="E21" s="21"/>
      <c r="F21" s="20"/>
      <c r="G21" s="20"/>
      <c r="H21" s="26"/>
      <c r="I21" s="22"/>
      <c r="AV21" s="33"/>
    </row>
    <row r="22" spans="1:48" ht="45" customHeight="1" x14ac:dyDescent="0.25">
      <c r="A22" s="9"/>
      <c r="B22" s="83" t="s">
        <v>154</v>
      </c>
      <c r="C22" s="84"/>
      <c r="D22" s="84"/>
      <c r="E22" s="84"/>
      <c r="F22" s="84"/>
      <c r="G22" s="84"/>
      <c r="H22" s="29"/>
      <c r="I22" s="35"/>
      <c r="K22" s="70" t="s">
        <v>76</v>
      </c>
      <c r="L22" s="71" t="s">
        <v>91</v>
      </c>
    </row>
    <row r="23" spans="1:48" ht="14.45" customHeight="1" x14ac:dyDescent="0.25">
      <c r="A23" s="9"/>
      <c r="B23" s="10"/>
      <c r="C23" s="11"/>
      <c r="D23" s="11"/>
      <c r="E23" s="11"/>
      <c r="F23" s="11"/>
      <c r="G23" s="12"/>
      <c r="H23" s="43" t="s">
        <v>24</v>
      </c>
      <c r="I23" s="58">
        <f>SUM(I14, I15, I16, I17, I18)</f>
        <v>15342.666666666666</v>
      </c>
      <c r="K23" s="68">
        <f>$I$23*VLOOKUP($H$2,$B$547:$C$549,2,)</f>
        <v>15342.666666666666</v>
      </c>
      <c r="L23" s="68">
        <f>$I$23*VLOOKUP($H$2,$B$547:$C$549,2,)*100/VLOOKUP($C$2,$B$555:$C$597,2,)</f>
        <v>15342.666666666664</v>
      </c>
    </row>
    <row r="24" spans="1:48" x14ac:dyDescent="0.25">
      <c r="H24" s="44"/>
      <c r="AV24" s="33"/>
    </row>
    <row r="25" spans="1:48" ht="15.95" customHeight="1" x14ac:dyDescent="0.25">
      <c r="B25" s="15" t="s">
        <v>28</v>
      </c>
      <c r="C25" s="16"/>
      <c r="D25" s="16"/>
      <c r="E25" s="17"/>
      <c r="F25" s="81" t="s">
        <v>131</v>
      </c>
      <c r="G25" s="81" t="s">
        <v>40</v>
      </c>
      <c r="H25" s="16"/>
      <c r="I25" s="18"/>
      <c r="AQ25" s="33"/>
      <c r="AR25" s="33"/>
      <c r="AS25" s="33"/>
      <c r="AT25" s="33"/>
      <c r="AU25" s="33"/>
      <c r="AV25" s="33"/>
    </row>
    <row r="26" spans="1:48" ht="15.95" customHeight="1" x14ac:dyDescent="0.25">
      <c r="B26" s="19" t="s">
        <v>37</v>
      </c>
      <c r="C26" s="20"/>
      <c r="D26" s="29" t="s">
        <v>14</v>
      </c>
      <c r="E26" s="21"/>
      <c r="F26" s="82"/>
      <c r="G26" s="82"/>
      <c r="H26" s="45" t="s">
        <v>32</v>
      </c>
      <c r="I26" s="22"/>
      <c r="AU26" s="33"/>
      <c r="AV26" s="33"/>
    </row>
    <row r="27" spans="1:48" x14ac:dyDescent="0.25">
      <c r="B27" s="5" t="s">
        <v>0</v>
      </c>
      <c r="C27" s="42"/>
      <c r="D27" s="42" t="s">
        <v>44</v>
      </c>
      <c r="E27" s="21"/>
      <c r="F27" s="54"/>
      <c r="G27" s="41">
        <f>F27*C31/60</f>
        <v>0</v>
      </c>
      <c r="H27" s="39"/>
      <c r="I27" s="24">
        <f>G27*C36*C32*12</f>
        <v>0</v>
      </c>
      <c r="AV27" s="33"/>
    </row>
    <row r="28" spans="1:48" ht="15" customHeight="1" x14ac:dyDescent="0.25">
      <c r="B28" s="5" t="s">
        <v>42</v>
      </c>
      <c r="C28" s="42"/>
      <c r="D28" s="42" t="s">
        <v>73</v>
      </c>
      <c r="E28" s="21"/>
      <c r="F28" s="54"/>
      <c r="G28" s="41">
        <f>F28*C31/60</f>
        <v>0</v>
      </c>
      <c r="H28" s="39"/>
      <c r="I28" s="24">
        <f>G28*C36*C32*12</f>
        <v>0</v>
      </c>
    </row>
    <row r="29" spans="1:48" x14ac:dyDescent="0.25">
      <c r="B29" s="5" t="s">
        <v>1</v>
      </c>
      <c r="C29" s="20"/>
      <c r="D29" s="42" t="s">
        <v>45</v>
      </c>
      <c r="E29" s="21"/>
      <c r="F29" s="54"/>
      <c r="G29" s="41">
        <f>F29*C31/60</f>
        <v>0</v>
      </c>
      <c r="H29" s="39"/>
      <c r="I29" s="24">
        <f>G29*C36*C32*12</f>
        <v>0</v>
      </c>
    </row>
    <row r="30" spans="1:48" x14ac:dyDescent="0.25">
      <c r="B30" s="5" t="s">
        <v>15</v>
      </c>
      <c r="C30" s="21"/>
      <c r="D30" s="42" t="s">
        <v>74</v>
      </c>
      <c r="E30" s="21"/>
      <c r="F30" s="54"/>
      <c r="G30" s="41">
        <f>F30*C31/60</f>
        <v>0</v>
      </c>
      <c r="H30" s="39"/>
      <c r="I30" s="24">
        <f>G30*C36*C32*12</f>
        <v>0</v>
      </c>
    </row>
    <row r="31" spans="1:48" x14ac:dyDescent="0.25">
      <c r="B31" s="23" t="s">
        <v>136</v>
      </c>
      <c r="C31" s="7">
        <v>1</v>
      </c>
      <c r="D31" s="42" t="s">
        <v>46</v>
      </c>
      <c r="E31" s="21"/>
      <c r="F31" s="54"/>
      <c r="G31" s="41">
        <f>F31*C31/60</f>
        <v>0</v>
      </c>
      <c r="H31" s="39"/>
      <c r="I31" s="24">
        <f>G31*C36*C32*12</f>
        <v>0</v>
      </c>
    </row>
    <row r="32" spans="1:48" x14ac:dyDescent="0.25">
      <c r="B32" s="23" t="s">
        <v>48</v>
      </c>
      <c r="C32" s="6">
        <v>200</v>
      </c>
      <c r="D32" s="42"/>
      <c r="E32" s="21"/>
      <c r="F32" s="20"/>
      <c r="G32" s="20"/>
      <c r="H32" s="39"/>
      <c r="I32" s="22"/>
    </row>
    <row r="33" spans="1:12" x14ac:dyDescent="0.25">
      <c r="B33" s="23" t="s">
        <v>58</v>
      </c>
      <c r="C33" s="7">
        <v>1</v>
      </c>
      <c r="D33" s="20"/>
      <c r="E33" s="42" t="s">
        <v>47</v>
      </c>
      <c r="F33" s="20"/>
      <c r="G33" s="20"/>
      <c r="H33" s="20"/>
      <c r="I33" s="22"/>
    </row>
    <row r="34" spans="1:12" x14ac:dyDescent="0.25">
      <c r="B34" s="23" t="s">
        <v>23</v>
      </c>
      <c r="C34" s="60">
        <v>4635</v>
      </c>
      <c r="D34" s="21"/>
      <c r="E34" s="21" t="s">
        <v>57</v>
      </c>
      <c r="F34" s="8">
        <v>45</v>
      </c>
      <c r="G34" s="20"/>
      <c r="H34" s="20"/>
      <c r="I34" s="22"/>
    </row>
    <row r="35" spans="1:12" x14ac:dyDescent="0.25">
      <c r="B35" s="23" t="s">
        <v>39</v>
      </c>
      <c r="C35" s="7">
        <v>38</v>
      </c>
      <c r="D35" s="20"/>
      <c r="E35" s="21"/>
      <c r="F35" s="20"/>
      <c r="G35" s="20"/>
      <c r="H35" s="20"/>
      <c r="I35" s="22"/>
    </row>
    <row r="36" spans="1:12" x14ac:dyDescent="0.25">
      <c r="B36" s="36" t="s">
        <v>63</v>
      </c>
      <c r="C36" s="61">
        <f>C33*C34/4.333/C35</f>
        <v>28.149938659249091</v>
      </c>
      <c r="D36" s="20"/>
      <c r="E36" s="21" t="s">
        <v>132</v>
      </c>
      <c r="F36" s="37">
        <f>IF(F34=0,SUM(F27:F31),F34)</f>
        <v>45</v>
      </c>
      <c r="G36" s="38">
        <f>IF(F34=0,F36*C31/60,F34*C31/60)</f>
        <v>0.75</v>
      </c>
      <c r="H36" s="20"/>
      <c r="I36" s="22"/>
    </row>
    <row r="37" spans="1:12" x14ac:dyDescent="0.25">
      <c r="B37" s="36"/>
      <c r="C37" s="39"/>
      <c r="D37" s="20"/>
      <c r="E37" s="40"/>
      <c r="F37" s="26"/>
      <c r="G37" s="26"/>
      <c r="H37" s="20"/>
      <c r="I37" s="22"/>
    </row>
    <row r="38" spans="1:12" x14ac:dyDescent="0.25">
      <c r="B38" s="23" t="s">
        <v>134</v>
      </c>
      <c r="C38" s="39"/>
      <c r="D38" s="20"/>
      <c r="E38" s="40"/>
      <c r="F38" s="26"/>
      <c r="G38" s="26"/>
      <c r="H38" s="20"/>
      <c r="I38" s="22"/>
    </row>
    <row r="39" spans="1:12" x14ac:dyDescent="0.25">
      <c r="B39" s="23" t="s">
        <v>135</v>
      </c>
      <c r="C39" s="62"/>
      <c r="D39" s="20"/>
      <c r="E39" s="21"/>
      <c r="F39" s="20"/>
      <c r="G39" s="41"/>
      <c r="H39" s="20" t="s">
        <v>56</v>
      </c>
      <c r="I39" s="24">
        <f>C39*C32*12</f>
        <v>0</v>
      </c>
    </row>
    <row r="40" spans="1:12" ht="14.45" customHeight="1" x14ac:dyDescent="0.25">
      <c r="B40" s="23"/>
      <c r="C40" s="39"/>
      <c r="D40" s="20"/>
      <c r="E40" s="21"/>
      <c r="F40" s="20"/>
      <c r="G40" s="41"/>
      <c r="H40" s="20"/>
      <c r="I40" s="35"/>
    </row>
    <row r="41" spans="1:12" ht="14.45" customHeight="1" x14ac:dyDescent="0.25">
      <c r="B41" s="50" t="s">
        <v>72</v>
      </c>
      <c r="C41" s="51"/>
      <c r="D41" s="51"/>
      <c r="E41" s="51"/>
      <c r="F41" s="51"/>
      <c r="G41" s="52"/>
      <c r="H41" s="20"/>
      <c r="I41" s="35"/>
    </row>
    <row r="42" spans="1:12" ht="45" customHeight="1" x14ac:dyDescent="0.25">
      <c r="A42" s="9"/>
      <c r="B42" s="83" t="s">
        <v>160</v>
      </c>
      <c r="C42" s="84"/>
      <c r="D42" s="84"/>
      <c r="E42" s="84"/>
      <c r="F42" s="84"/>
      <c r="G42" s="84"/>
      <c r="H42" s="29"/>
      <c r="I42" s="35"/>
      <c r="K42" s="70" t="s">
        <v>76</v>
      </c>
      <c r="L42" s="71" t="s">
        <v>91</v>
      </c>
    </row>
    <row r="43" spans="1:12" x14ac:dyDescent="0.25">
      <c r="A43" s="9"/>
      <c r="B43" s="10"/>
      <c r="C43" s="11"/>
      <c r="D43" s="11"/>
      <c r="E43" s="11"/>
      <c r="F43" s="11"/>
      <c r="G43" s="12"/>
      <c r="H43" s="13" t="s">
        <v>55</v>
      </c>
      <c r="I43" s="58">
        <f>IF(F34=0, SUM(I27:I31, I39), (G36*C36*C32*12)+I39)</f>
        <v>50669.889586648365</v>
      </c>
      <c r="K43" s="68">
        <f>$I$43*VLOOKUP($H$2,$B$547:$C$549,2,)</f>
        <v>50669.889586648365</v>
      </c>
      <c r="L43" s="68">
        <f>$I$43*VLOOKUP($H$2,$B$547:$C$549,2,)*100/VLOOKUP($C$2,$B$555:$C$597,2,)</f>
        <v>50669.889586648365</v>
      </c>
    </row>
    <row r="49" spans="2:12" x14ac:dyDescent="0.25">
      <c r="B49" s="15" t="s">
        <v>66</v>
      </c>
      <c r="C49" s="16"/>
      <c r="D49" s="16"/>
      <c r="E49" s="17"/>
      <c r="F49" s="16"/>
      <c r="G49" s="16"/>
      <c r="H49" s="16"/>
      <c r="I49" s="18"/>
    </row>
    <row r="50" spans="2:12" x14ac:dyDescent="0.25">
      <c r="B50" s="19"/>
      <c r="C50" s="20"/>
      <c r="D50" s="20"/>
      <c r="E50" s="21"/>
      <c r="F50" s="20"/>
      <c r="G50" s="20"/>
      <c r="H50" s="20"/>
      <c r="I50" s="22"/>
    </row>
    <row r="51" spans="2:12" x14ac:dyDescent="0.25">
      <c r="B51" s="19" t="s">
        <v>64</v>
      </c>
      <c r="C51" s="24">
        <f>C36+(C16*F16*12/52/C35)</f>
        <v>28.149938659249091</v>
      </c>
      <c r="D51" s="20"/>
      <c r="E51" s="21"/>
      <c r="F51" s="20"/>
      <c r="G51" s="20"/>
      <c r="H51" s="20"/>
      <c r="I51" s="22"/>
    </row>
    <row r="52" spans="2:12" x14ac:dyDescent="0.25">
      <c r="B52" s="19" t="s">
        <v>65</v>
      </c>
      <c r="C52" s="24">
        <f>I23</f>
        <v>15342.666666666666</v>
      </c>
      <c r="D52" s="20"/>
      <c r="E52" s="21"/>
      <c r="F52" s="20"/>
      <c r="G52" s="20"/>
      <c r="H52" s="20"/>
      <c r="I52" s="22"/>
    </row>
    <row r="53" spans="2:12" x14ac:dyDescent="0.25">
      <c r="B53" s="23" t="s">
        <v>67</v>
      </c>
      <c r="C53" s="24">
        <f>G36*C36+C39</f>
        <v>21.112453994436819</v>
      </c>
      <c r="D53" s="20"/>
      <c r="E53" s="20"/>
      <c r="F53" s="20"/>
      <c r="G53" s="20"/>
      <c r="H53" s="20"/>
      <c r="I53" s="22"/>
    </row>
    <row r="54" spans="2:12" x14ac:dyDescent="0.25">
      <c r="B54" s="19"/>
      <c r="C54" s="20"/>
      <c r="D54" s="20"/>
      <c r="E54" s="21"/>
      <c r="F54" s="20"/>
      <c r="G54" s="20"/>
      <c r="H54" s="20"/>
      <c r="I54" s="22"/>
    </row>
    <row r="55" spans="2:12" x14ac:dyDescent="0.25">
      <c r="B55" s="19" t="s">
        <v>68</v>
      </c>
      <c r="C55" s="24">
        <f>C32*12</f>
        <v>2400</v>
      </c>
      <c r="D55" s="20"/>
      <c r="E55" s="21"/>
      <c r="F55" s="20"/>
      <c r="G55" s="20"/>
      <c r="H55" s="20"/>
      <c r="I55" s="22"/>
    </row>
    <row r="56" spans="2:12" x14ac:dyDescent="0.25">
      <c r="B56" s="19" t="s">
        <v>69</v>
      </c>
      <c r="C56" s="24">
        <f>C55*C31</f>
        <v>2400</v>
      </c>
      <c r="D56" s="20"/>
      <c r="E56" s="21"/>
      <c r="F56" s="20"/>
      <c r="G56" s="20"/>
      <c r="H56" s="20"/>
      <c r="I56" s="22"/>
    </row>
    <row r="57" spans="2:12" x14ac:dyDescent="0.25">
      <c r="B57" s="19"/>
      <c r="C57" s="25"/>
      <c r="D57" s="20"/>
      <c r="E57" s="21"/>
      <c r="F57" s="20"/>
      <c r="G57" s="20"/>
      <c r="H57" s="20"/>
      <c r="I57" s="22"/>
      <c r="K57" s="70" t="s">
        <v>76</v>
      </c>
      <c r="L57" s="71" t="s">
        <v>91</v>
      </c>
    </row>
    <row r="58" spans="2:12" x14ac:dyDescent="0.25">
      <c r="B58" s="19"/>
      <c r="C58" s="20"/>
      <c r="D58" s="20"/>
      <c r="E58" s="21"/>
      <c r="F58" s="20"/>
      <c r="G58" s="20"/>
      <c r="H58" s="26"/>
      <c r="I58" s="27"/>
    </row>
    <row r="59" spans="2:12" x14ac:dyDescent="0.25">
      <c r="B59" s="28" t="s">
        <v>71</v>
      </c>
      <c r="C59" s="58">
        <f>C53+(C52/C55)</f>
        <v>27.505231772214596</v>
      </c>
      <c r="D59" s="20"/>
      <c r="E59" s="21"/>
      <c r="F59" s="20"/>
      <c r="G59" s="20"/>
      <c r="H59" s="29" t="s">
        <v>59</v>
      </c>
      <c r="I59" s="58">
        <f>C53*C55+C52</f>
        <v>66012.556253315037</v>
      </c>
      <c r="K59" s="68">
        <f>$I$59*VLOOKUP($H$2,$B$547:$C$549,2,)</f>
        <v>66012.556253315037</v>
      </c>
      <c r="L59" s="68">
        <f>$I$59*VLOOKUP($H$2,$B$547:$C$549,2,)*100/VLOOKUP($C$2,$B$555:$C$597,2,)</f>
        <v>66012.556253315037</v>
      </c>
    </row>
    <row r="60" spans="2:12" x14ac:dyDescent="0.25">
      <c r="B60" s="30" t="s">
        <v>70</v>
      </c>
      <c r="C60" s="58">
        <f>C59/C31</f>
        <v>27.505231772214596</v>
      </c>
      <c r="D60" s="12"/>
      <c r="E60" s="31"/>
      <c r="F60" s="12"/>
      <c r="G60" s="12"/>
      <c r="H60" s="12"/>
      <c r="I60" s="27"/>
    </row>
    <row r="62" spans="2:12" x14ac:dyDescent="0.25">
      <c r="C62" s="66" t="s">
        <v>76</v>
      </c>
      <c r="D62" s="67" t="s">
        <v>91</v>
      </c>
    </row>
    <row r="63" spans="2:12" x14ac:dyDescent="0.25">
      <c r="B63" s="44" t="s">
        <v>71</v>
      </c>
      <c r="C63" s="68">
        <f>$C$59*VLOOKUP($H$2,$B$547:$C$549,2,)</f>
        <v>27.505231772214596</v>
      </c>
      <c r="D63" s="68">
        <f>$C$59*VLOOKUP($H$2,$B$547:$C$549,2,)*100/VLOOKUP($C$2,$B$555:$C$597,2,)</f>
        <v>27.505231772214596</v>
      </c>
    </row>
    <row r="64" spans="2:12" x14ac:dyDescent="0.25">
      <c r="B64" s="44" t="s">
        <v>70</v>
      </c>
      <c r="C64" s="69">
        <f>$C$60*VLOOKUP($H$2,$B$547:$C$549,2,)</f>
        <v>27.505231772214596</v>
      </c>
      <c r="D64" s="69">
        <f>$C$60*VLOOKUP($H$2,$B$547:$C$549,2,)*100/VLOOKUP($C$2,$B$555:$C$597,2,)</f>
        <v>27.505231772214596</v>
      </c>
    </row>
    <row r="517" spans="2:21" x14ac:dyDescent="0.25">
      <c r="B517" s="14" t="s">
        <v>50</v>
      </c>
    </row>
    <row r="520" spans="2:21" x14ac:dyDescent="0.25">
      <c r="B520" s="14" t="s">
        <v>31</v>
      </c>
      <c r="E520" s="33" t="s">
        <v>33</v>
      </c>
      <c r="H520" s="33" t="s">
        <v>34</v>
      </c>
      <c r="J520" s="33" t="s">
        <v>35</v>
      </c>
      <c r="M520" s="33" t="s">
        <v>36</v>
      </c>
      <c r="P520" s="14" t="s">
        <v>38</v>
      </c>
      <c r="Q520" s="33"/>
      <c r="U520" s="14" t="s">
        <v>49</v>
      </c>
    </row>
    <row r="521" spans="2:21" x14ac:dyDescent="0.25">
      <c r="B521" s="34" t="s">
        <v>137</v>
      </c>
      <c r="E521" s="33" t="s">
        <v>15</v>
      </c>
      <c r="H521" s="33">
        <v>1</v>
      </c>
      <c r="J521" s="33" t="s">
        <v>41</v>
      </c>
      <c r="M521" s="33" t="s">
        <v>1</v>
      </c>
      <c r="P521" s="14">
        <v>0</v>
      </c>
      <c r="U521" s="14" t="s">
        <v>10</v>
      </c>
    </row>
    <row r="522" spans="2:21" x14ac:dyDescent="0.25">
      <c r="B522" s="34" t="s">
        <v>18</v>
      </c>
      <c r="E522" s="33" t="s">
        <v>16</v>
      </c>
      <c r="H522" s="33">
        <v>10</v>
      </c>
      <c r="J522" s="33" t="s">
        <v>42</v>
      </c>
      <c r="M522" s="33" t="s">
        <v>2</v>
      </c>
      <c r="P522" s="14">
        <v>1</v>
      </c>
      <c r="U522" s="14" t="s">
        <v>12</v>
      </c>
    </row>
    <row r="523" spans="2:21" x14ac:dyDescent="0.25">
      <c r="B523" s="34" t="s">
        <v>4</v>
      </c>
      <c r="E523" s="33" t="s">
        <v>17</v>
      </c>
      <c r="H523" s="33">
        <v>50</v>
      </c>
      <c r="J523" s="33" t="s">
        <v>43</v>
      </c>
      <c r="M523" s="33" t="s">
        <v>3</v>
      </c>
      <c r="P523" s="14">
        <v>2</v>
      </c>
      <c r="U523" s="14" t="s">
        <v>80</v>
      </c>
    </row>
    <row r="524" spans="2:21" x14ac:dyDescent="0.25">
      <c r="B524" s="34" t="s">
        <v>5</v>
      </c>
      <c r="E524" s="33" t="s">
        <v>0</v>
      </c>
      <c r="H524" s="33">
        <v>100</v>
      </c>
      <c r="P524" s="14">
        <v>3</v>
      </c>
      <c r="U524" s="14" t="s">
        <v>11</v>
      </c>
    </row>
    <row r="525" spans="2:21" x14ac:dyDescent="0.25">
      <c r="B525" s="34" t="s">
        <v>6</v>
      </c>
      <c r="E525" s="14"/>
      <c r="H525" s="33">
        <v>500</v>
      </c>
      <c r="P525" s="14">
        <v>4</v>
      </c>
      <c r="U525" s="14" t="s">
        <v>82</v>
      </c>
    </row>
    <row r="526" spans="2:21" x14ac:dyDescent="0.25">
      <c r="B526" s="34" t="s">
        <v>9</v>
      </c>
      <c r="E526" s="14"/>
      <c r="H526" s="33">
        <v>1000</v>
      </c>
      <c r="P526" s="14">
        <v>5</v>
      </c>
      <c r="U526" s="14" t="s">
        <v>81</v>
      </c>
    </row>
    <row r="527" spans="2:21" x14ac:dyDescent="0.25">
      <c r="B527" s="34" t="s">
        <v>7</v>
      </c>
      <c r="E527" s="14"/>
      <c r="H527" s="33">
        <v>5000</v>
      </c>
      <c r="P527" s="14">
        <v>6</v>
      </c>
      <c r="U527" s="14" t="s">
        <v>13</v>
      </c>
    </row>
    <row r="528" spans="2:21" x14ac:dyDescent="0.25">
      <c r="B528" s="34" t="s">
        <v>8</v>
      </c>
      <c r="E528" s="14"/>
      <c r="H528" s="33">
        <v>10000</v>
      </c>
      <c r="P528" s="14">
        <v>7</v>
      </c>
    </row>
    <row r="529" spans="2:16" x14ac:dyDescent="0.25">
      <c r="B529" s="34" t="s">
        <v>19</v>
      </c>
      <c r="E529" s="14"/>
      <c r="H529" s="33">
        <v>50000</v>
      </c>
      <c r="P529" s="14">
        <v>8</v>
      </c>
    </row>
    <row r="530" spans="2:16" x14ac:dyDescent="0.25">
      <c r="B530" s="34" t="s">
        <v>0</v>
      </c>
      <c r="E530" s="14"/>
      <c r="H530" s="33">
        <v>100000</v>
      </c>
      <c r="P530" s="14">
        <v>9</v>
      </c>
    </row>
    <row r="531" spans="2:16" x14ac:dyDescent="0.25">
      <c r="E531" s="14"/>
      <c r="H531" s="33"/>
      <c r="P531" s="14">
        <v>10</v>
      </c>
    </row>
    <row r="532" spans="2:16" x14ac:dyDescent="0.25">
      <c r="E532" s="14"/>
    </row>
    <row r="533" spans="2:16" x14ac:dyDescent="0.25">
      <c r="E533" s="14"/>
    </row>
    <row r="539" spans="2:16" x14ac:dyDescent="0.25">
      <c r="B539" s="14" t="s">
        <v>78</v>
      </c>
    </row>
    <row r="541" spans="2:16" x14ac:dyDescent="0.25">
      <c r="B541" s="14" t="s">
        <v>83</v>
      </c>
    </row>
    <row r="542" spans="2:16" x14ac:dyDescent="0.25">
      <c r="B542" s="34" t="s">
        <v>76</v>
      </c>
      <c r="E542" s="34"/>
      <c r="F542" s="34"/>
      <c r="G542" s="34"/>
      <c r="H542" s="34"/>
    </row>
    <row r="543" spans="2:16" x14ac:dyDescent="0.25">
      <c r="B543" s="34" t="s">
        <v>75</v>
      </c>
      <c r="E543" s="34"/>
      <c r="F543" s="34"/>
      <c r="G543" s="34"/>
      <c r="H543" s="34"/>
    </row>
    <row r="544" spans="2:16" x14ac:dyDescent="0.25">
      <c r="B544" s="34" t="s">
        <v>77</v>
      </c>
      <c r="C544" s="34"/>
      <c r="D544" s="34"/>
      <c r="E544" s="34"/>
      <c r="F544" s="34"/>
      <c r="G544" s="34"/>
      <c r="H544" s="34"/>
    </row>
    <row r="545" spans="2:8" x14ac:dyDescent="0.25">
      <c r="C545" s="34"/>
      <c r="D545" s="34"/>
      <c r="E545" s="34"/>
      <c r="F545" s="34"/>
      <c r="G545" s="34"/>
      <c r="H545" s="34"/>
    </row>
    <row r="546" spans="2:8" x14ac:dyDescent="0.25">
      <c r="B546" s="56" t="s">
        <v>90</v>
      </c>
      <c r="C546" s="56" t="s">
        <v>79</v>
      </c>
      <c r="D546" s="56"/>
      <c r="E546" s="34"/>
      <c r="H546" s="34"/>
    </row>
    <row r="547" spans="2:8" x14ac:dyDescent="0.25">
      <c r="B547" s="34" t="s">
        <v>76</v>
      </c>
      <c r="C547" s="78">
        <v>1</v>
      </c>
      <c r="D547" s="34"/>
      <c r="E547" s="34"/>
      <c r="F547" s="34"/>
      <c r="G547" s="34"/>
      <c r="H547" s="34"/>
    </row>
    <row r="548" spans="2:8" x14ac:dyDescent="0.25">
      <c r="B548" s="34" t="s">
        <v>75</v>
      </c>
      <c r="C548" s="78">
        <v>1.1355900000000001</v>
      </c>
      <c r="D548" s="78"/>
      <c r="E548" s="34"/>
      <c r="F548" s="34"/>
      <c r="G548" s="34"/>
      <c r="H548" s="34"/>
    </row>
    <row r="549" spans="2:8" x14ac:dyDescent="0.25">
      <c r="B549" s="34" t="s">
        <v>77</v>
      </c>
      <c r="C549" s="55">
        <v>0.89676</v>
      </c>
    </row>
    <row r="552" spans="2:8" x14ac:dyDescent="0.25">
      <c r="B552" s="56" t="s">
        <v>92</v>
      </c>
      <c r="C552" s="72"/>
    </row>
    <row r="553" spans="2:8" x14ac:dyDescent="0.25">
      <c r="B553" s="79" t="s">
        <v>145</v>
      </c>
    </row>
    <row r="555" spans="2:8" x14ac:dyDescent="0.25">
      <c r="B555" s="64" t="s">
        <v>89</v>
      </c>
      <c r="C555" s="63">
        <v>100</v>
      </c>
    </row>
    <row r="556" spans="2:8" x14ac:dyDescent="0.25">
      <c r="B556" s="14" t="s">
        <v>93</v>
      </c>
      <c r="C556" s="14">
        <v>100</v>
      </c>
    </row>
    <row r="557" spans="2:8" x14ac:dyDescent="0.25">
      <c r="B557" s="14" t="s">
        <v>84</v>
      </c>
      <c r="C557" s="14">
        <v>110.8</v>
      </c>
    </row>
    <row r="558" spans="2:8" x14ac:dyDescent="0.25">
      <c r="B558" s="14" t="s">
        <v>94</v>
      </c>
      <c r="C558" s="14">
        <v>49.6</v>
      </c>
    </row>
    <row r="559" spans="2:8" x14ac:dyDescent="0.25">
      <c r="B559" s="14" t="s">
        <v>95</v>
      </c>
      <c r="C559" s="14">
        <v>68.2</v>
      </c>
    </row>
    <row r="560" spans="2:8" x14ac:dyDescent="0.25">
      <c r="B560" s="14" t="s">
        <v>96</v>
      </c>
      <c r="C560" s="14">
        <v>138.9</v>
      </c>
    </row>
    <row r="561" spans="2:3" x14ac:dyDescent="0.25">
      <c r="B561" s="14" t="s">
        <v>97</v>
      </c>
      <c r="C561" s="14">
        <v>104</v>
      </c>
    </row>
    <row r="562" spans="2:3" x14ac:dyDescent="0.25">
      <c r="B562" s="14" t="s">
        <v>88</v>
      </c>
      <c r="C562" s="14">
        <v>78.099999999999994</v>
      </c>
    </row>
    <row r="563" spans="2:3" x14ac:dyDescent="0.25">
      <c r="B563" s="14" t="s">
        <v>98</v>
      </c>
      <c r="C563" s="14">
        <v>127.2</v>
      </c>
    </row>
    <row r="564" spans="2:3" x14ac:dyDescent="0.25">
      <c r="B564" s="14" t="s">
        <v>99</v>
      </c>
      <c r="C564" s="14">
        <v>85.4</v>
      </c>
    </row>
    <row r="565" spans="2:3" x14ac:dyDescent="0.25">
      <c r="B565" s="14" t="s">
        <v>100</v>
      </c>
      <c r="C565" s="14">
        <v>92.5</v>
      </c>
    </row>
    <row r="566" spans="2:3" x14ac:dyDescent="0.25">
      <c r="B566" s="14" t="s">
        <v>86</v>
      </c>
      <c r="C566" s="14">
        <v>109.5</v>
      </c>
    </row>
    <row r="567" spans="2:3" x14ac:dyDescent="0.25">
      <c r="B567" s="14" t="s">
        <v>101</v>
      </c>
      <c r="C567" s="14">
        <v>67.400000000000006</v>
      </c>
    </row>
    <row r="568" spans="2:3" x14ac:dyDescent="0.25">
      <c r="B568" s="14" t="s">
        <v>102</v>
      </c>
      <c r="C568" s="14">
        <v>100.9</v>
      </c>
    </row>
    <row r="569" spans="2:3" x14ac:dyDescent="0.25">
      <c r="B569" s="14" t="s">
        <v>103</v>
      </c>
      <c r="C569" s="14">
        <v>89.5</v>
      </c>
    </row>
    <row r="570" spans="2:3" x14ac:dyDescent="0.25">
      <c r="B570" s="14" t="s">
        <v>104</v>
      </c>
      <c r="C570" s="14">
        <v>72.8</v>
      </c>
    </row>
    <row r="571" spans="2:3" x14ac:dyDescent="0.25">
      <c r="B571" s="14" t="s">
        <v>105</v>
      </c>
      <c r="C571" s="14">
        <v>64.5</v>
      </c>
    </row>
    <row r="572" spans="2:3" x14ac:dyDescent="0.25">
      <c r="B572" s="14" t="s">
        <v>106</v>
      </c>
      <c r="C572" s="14">
        <v>125.9</v>
      </c>
    </row>
    <row r="573" spans="2:3" x14ac:dyDescent="0.25">
      <c r="B573" s="14" t="s">
        <v>107</v>
      </c>
      <c r="C573" s="14">
        <v>63</v>
      </c>
    </row>
    <row r="574" spans="2:3" x14ac:dyDescent="0.25">
      <c r="B574" s="14" t="s">
        <v>108</v>
      </c>
      <c r="C574" s="14">
        <v>81.7</v>
      </c>
    </row>
    <row r="575" spans="2:3" x14ac:dyDescent="0.25">
      <c r="B575" s="14" t="s">
        <v>87</v>
      </c>
      <c r="C575" s="14">
        <v>112.1</v>
      </c>
    </row>
    <row r="576" spans="2:3" x14ac:dyDescent="0.25">
      <c r="B576" s="14" t="s">
        <v>109</v>
      </c>
      <c r="C576" s="14">
        <v>108.6</v>
      </c>
    </row>
    <row r="577" spans="2:3" x14ac:dyDescent="0.25">
      <c r="B577" s="14" t="s">
        <v>110</v>
      </c>
      <c r="C577" s="14">
        <v>56.7</v>
      </c>
    </row>
    <row r="578" spans="2:3" x14ac:dyDescent="0.25">
      <c r="B578" s="14" t="s">
        <v>111</v>
      </c>
      <c r="C578" s="14">
        <v>86</v>
      </c>
    </row>
    <row r="579" spans="2:3" x14ac:dyDescent="0.25">
      <c r="B579" s="14" t="s">
        <v>112</v>
      </c>
      <c r="C579" s="14">
        <v>52.6</v>
      </c>
    </row>
    <row r="580" spans="2:3" x14ac:dyDescent="0.25">
      <c r="B580" s="14" t="s">
        <v>113</v>
      </c>
      <c r="C580" s="14">
        <v>83.8</v>
      </c>
    </row>
    <row r="581" spans="2:3" x14ac:dyDescent="0.25">
      <c r="B581" s="14" t="s">
        <v>114</v>
      </c>
      <c r="C581" s="14">
        <v>69.8</v>
      </c>
    </row>
    <row r="582" spans="2:3" x14ac:dyDescent="0.25">
      <c r="B582" s="14" t="s">
        <v>85</v>
      </c>
      <c r="C582" s="14">
        <v>122.4</v>
      </c>
    </row>
    <row r="583" spans="2:3" x14ac:dyDescent="0.25">
      <c r="B583" s="14" t="s">
        <v>115</v>
      </c>
      <c r="C583" s="14">
        <v>125.5</v>
      </c>
    </row>
    <row r="584" spans="2:3" x14ac:dyDescent="0.25">
      <c r="B584" s="14" t="s">
        <v>116</v>
      </c>
      <c r="C584" s="14">
        <v>116.4</v>
      </c>
    </row>
    <row r="585" spans="2:3" x14ac:dyDescent="0.25">
      <c r="B585" s="14" t="s">
        <v>117</v>
      </c>
      <c r="C585" s="14">
        <v>166.1</v>
      </c>
    </row>
    <row r="586" spans="2:3" x14ac:dyDescent="0.25">
      <c r="B586" s="14" t="s">
        <v>118</v>
      </c>
      <c r="C586" s="32" t="s">
        <v>119</v>
      </c>
    </row>
    <row r="587" spans="2:3" x14ac:dyDescent="0.25">
      <c r="B587" s="14" t="s">
        <v>120</v>
      </c>
      <c r="C587" s="14">
        <v>149.5</v>
      </c>
    </row>
    <row r="588" spans="2:3" x14ac:dyDescent="0.25">
      <c r="B588" s="14" t="s">
        <v>121</v>
      </c>
      <c r="C588" s="14">
        <v>159.9</v>
      </c>
    </row>
    <row r="589" spans="2:3" x14ac:dyDescent="0.25">
      <c r="B589" s="14" t="s">
        <v>122</v>
      </c>
      <c r="C589" s="14">
        <v>55.6</v>
      </c>
    </row>
    <row r="590" spans="2:3" x14ac:dyDescent="0.25">
      <c r="B590" s="14" t="s">
        <v>123</v>
      </c>
      <c r="C590" s="14">
        <v>47.9</v>
      </c>
    </row>
    <row r="591" spans="2:3" x14ac:dyDescent="0.25">
      <c r="B591" s="14" t="s">
        <v>124</v>
      </c>
      <c r="C591" s="14">
        <v>49.8</v>
      </c>
    </row>
    <row r="592" spans="2:3" x14ac:dyDescent="0.25">
      <c r="B592" s="14" t="s">
        <v>125</v>
      </c>
      <c r="C592" s="14">
        <v>51.9</v>
      </c>
    </row>
    <row r="593" spans="2:3" x14ac:dyDescent="0.25">
      <c r="B593" s="14" t="s">
        <v>126</v>
      </c>
      <c r="C593" s="14">
        <v>52.7</v>
      </c>
    </row>
    <row r="594" spans="2:3" x14ac:dyDescent="0.25">
      <c r="B594" s="14" t="s">
        <v>127</v>
      </c>
      <c r="C594" s="14">
        <v>52</v>
      </c>
    </row>
    <row r="595" spans="2:3" x14ac:dyDescent="0.25">
      <c r="B595" s="14" t="s">
        <v>128</v>
      </c>
      <c r="C595" s="14">
        <v>52.1</v>
      </c>
    </row>
    <row r="596" spans="2:3" x14ac:dyDescent="0.25">
      <c r="B596" s="14" t="s">
        <v>129</v>
      </c>
      <c r="C596" s="14">
        <v>114.4</v>
      </c>
    </row>
    <row r="597" spans="2:3" x14ac:dyDescent="0.25">
      <c r="B597" s="14" t="s">
        <v>130</v>
      </c>
      <c r="C597" s="14">
        <v>110.8</v>
      </c>
    </row>
  </sheetData>
  <sheetProtection password="D792" sheet="1" selectLockedCells="1"/>
  <protectedRanges>
    <protectedRange sqref="B2 D2:F3 H2" name="Headings"/>
  </protectedRanges>
  <mergeCells count="9">
    <mergeCell ref="F25:F26"/>
    <mergeCell ref="G25:G26"/>
    <mergeCell ref="B42:G42"/>
    <mergeCell ref="D2:F2"/>
    <mergeCell ref="D3:F3"/>
    <mergeCell ref="B9:G9"/>
    <mergeCell ref="E19:F19"/>
    <mergeCell ref="E20:F20"/>
    <mergeCell ref="B22:G22"/>
  </mergeCells>
  <conditionalFormatting sqref="C6 F6 I10 I14:I18 F16:F18 I23 C34 I27:I31 I39 I43 C52:C53 C59 I59">
    <cfRule type="expression" dxfId="109" priority="10">
      <formula>$H$2="£ Sterling"</formula>
    </cfRule>
  </conditionalFormatting>
  <conditionalFormatting sqref="C6 F6 I10 I14:I18 F16:F18 I23 C34 I27:I31 I39 I43 C52:C53 C59 I59">
    <cfRule type="expression" dxfId="108" priority="9">
      <formula>$H$2="$ US Dollars"</formula>
    </cfRule>
  </conditionalFormatting>
  <conditionalFormatting sqref="C6 F6 I10 I14:I18 F16:F18 I23 C34 I27:I31 I39 I43 C52:C53 C59 I59">
    <cfRule type="expression" dxfId="107" priority="8">
      <formula>$H$2="€ Euros"</formula>
    </cfRule>
  </conditionalFormatting>
  <conditionalFormatting sqref="F15 C36 C39 C51 C60">
    <cfRule type="expression" dxfId="106" priority="5">
      <formula>$H$2="$ US Dollars"</formula>
    </cfRule>
    <cfRule type="expression" dxfId="105" priority="6">
      <formula>$H$2="£ Sterling"</formula>
    </cfRule>
    <cfRule type="expression" dxfId="104" priority="7">
      <formula>$H$2="€ Euros"</formula>
    </cfRule>
  </conditionalFormatting>
  <conditionalFormatting sqref="L12">
    <cfRule type="expression" dxfId="103" priority="4">
      <formula>$H$2="€ Euros"</formula>
    </cfRule>
  </conditionalFormatting>
  <conditionalFormatting sqref="C7">
    <cfRule type="expression" dxfId="102" priority="3">
      <formula>$H$2="£ Sterling"</formula>
    </cfRule>
  </conditionalFormatting>
  <conditionalFormatting sqref="C7">
    <cfRule type="expression" dxfId="101" priority="2">
      <formula>$H$2="$ US Dollars"</formula>
    </cfRule>
  </conditionalFormatting>
  <conditionalFormatting sqref="C7">
    <cfRule type="expression" dxfId="100" priority="1">
      <formula>$H$2="€ Euros"</formula>
    </cfRule>
  </conditionalFormatting>
  <dataValidations count="21">
    <dataValidation allowBlank="1" showInputMessage="1" showErrorMessage="1" prompt="Include any equipment (capital) upgrade costs during lifetime of facility (but not annual maintenance contracts, licenses, etc.)" sqref="C7" xr:uid="{122B59EE-3009-47BB-A1FC-4F55728B0351}"/>
    <dataValidation allowBlank="1" showInputMessage="1" showErrorMessage="1" prompt="Other costs are costs of procurement, making a room ready e.g., decorating, wiring, etc._x000a_" sqref="F6" xr:uid="{BD48725E-742B-4845-984A-C5D58B9A9C01}"/>
    <dataValidation allowBlank="1" showInputMessage="1" showErrorMessage="1" prompt="Capital equipment costs include digitisation equipment, furniture, computers, etc." sqref="C6" xr:uid="{47B70AEA-EFC6-4441-AB26-F283CA87F41D}"/>
    <dataValidation allowBlank="1" showErrorMessage="1" sqref="B19" xr:uid="{05678185-65CD-4BF9-BD90-8447D3D79778}"/>
    <dataValidation allowBlank="1" showInputMessage="1" showErrorMessage="1" prompt="If applicable, include costs of any upgrade(s) divided over the lifetimeof the digitisation facility e.g., if upgrade cost is €10,000 and lifetime is 5 years, enter €2,000." sqref="C18" xr:uid="{AD79D754-7323-4099-A791-1AA5965D2EAD}"/>
    <dataValidation type="list" allowBlank="1" showInputMessage="1" showErrorMessage="1" prompt="Choose currency to use from dropdown list_x000a_" sqref="H2:H3" xr:uid="{6C7A3DED-BF9B-4400-B173-1E2A2859A1E9}">
      <formula1>$B$541:$B$544</formula1>
    </dataValidation>
    <dataValidation type="list" allowBlank="1" showInputMessage="1" prompt="Select your institution from the drop-down list, or enter if not listed" sqref="B2:B3" xr:uid="{2602216F-5E31-458C-94A2-1CF62DA4377F}">
      <formula1>$U$520:$U$527</formula1>
    </dataValidation>
    <dataValidation type="list" allowBlank="1" showInputMessage="1" showErrorMessage="1" prompt="Choose specimen category" sqref="B27" xr:uid="{89F37F16-4793-4A17-A778-3BE2BCF895AF}">
      <formula1>$B$520:$B$530</formula1>
    </dataValidation>
    <dataValidation type="list" errorStyle="information" allowBlank="1" showInputMessage="1" prompt="Choose typical batch size (or enter own value)" sqref="C31" xr:uid="{6ABD8467-9987-4A53-A99B-22058A9EA401}">
      <formula1>$H$520:$H$530</formula1>
    </dataValidation>
    <dataValidation type="list" allowBlank="1" showInputMessage="1" showErrorMessage="1" prompt="Choose unit of digitisation" sqref="B30" xr:uid="{06C179D2-036F-4DB7-938D-34DD706F0E7D}">
      <formula1>$E$520:$E$524</formula1>
    </dataValidation>
    <dataValidation type="list" allowBlank="1" showInputMessage="1" showErrorMessage="1" prompt="Select number of staff needed for digitisation (additional to number of fixed staff, above)" sqref="C33" xr:uid="{F3437344-1EF6-4D62-9007-2D320957FAAE}">
      <formula1>$P$520:$P$532</formula1>
    </dataValidation>
    <dataValidation type="list" allowBlank="1" showInputMessage="1" showErrorMessage="1" prompt="Choose type of process" sqref="B29" xr:uid="{10FF2AAE-AA66-4C15-8798-152E10C69D5B}">
      <formula1>$M$520:$M$523</formula1>
    </dataValidation>
    <dataValidation type="list" allowBlank="1" showInputMessage="1" showErrorMessage="1" prompt="Choose type of workflow" sqref="B28" xr:uid="{86BDF71D-D36B-4BA4-A71D-02A779398236}">
      <formula1>$J$520:$J$523</formula1>
    </dataValidation>
    <dataValidation allowBlank="1" showInputMessage="1" showErrorMessage="1" prompt="This cell not currently used" sqref="C17" xr:uid="{8506FE25-3DEC-4E86-A806-F444DBD283E0}"/>
    <dataValidation allowBlank="1" showInputMessage="1" showErrorMessage="1" prompt="Enter in minutes. Add up for all persons involved. See Instructions sheet for explanation of the tasks_x000a_" sqref="F27:F31" xr:uid="{A3643473-5B7D-4B71-9EC5-F10324A88724}"/>
    <dataValidation allowBlank="1" showInputMessage="1" showErrorMessage="1" prompt="Only enter a value here if you do not know the split across the above 5 task clusters" sqref="F34" xr:uid="{3004A98C-7256-4964-9815-995DA617C604}"/>
    <dataValidation allowBlank="1" showInputMessage="1" showErrorMessage="1" prompt="Number of hours in working week (change if necessary)" sqref="C35" xr:uid="{2CFA81E8-36F1-4345-8D1A-DE30200BCB3C}"/>
    <dataValidation allowBlank="1" showInputMessage="1" showErrorMessage="1" prompt="Enter monthly average gross salary for number of staff selected above" sqref="C34" xr:uid="{337E9BBD-FFAB-443A-9B61-90464F3730C1}"/>
    <dataValidation allowBlank="1" showInputMessage="1" showErrorMessage="1" prompt="Enter room area of your digitisation facility" sqref="C15" xr:uid="{F9C86D42-8AEC-4071-8DB0-0EBE7AF9F61A}"/>
    <dataValidation type="decimal" allowBlank="1" showInputMessage="1" showErrorMessage="1" prompt="Enter depreciation period in years (straight line depreciation will be used)" sqref="C14" xr:uid="{6739478F-70CA-40D4-B709-FF20FE76AEC3}">
      <formula1>1</formula1>
      <formula2>7</formula2>
    </dataValidation>
    <dataValidation type="decimal" showInputMessage="1" showErrorMessage="1" prompt="Enter value between 0 and 20 for number of fixed staff supporting the facility i.e., even if no digitisation is occurring. Part FTE allowed." sqref="C16" xr:uid="{FAC958A3-D408-48AF-AC08-1694C6DE25FF}">
      <formula1>0</formula1>
      <formula2>20</formula2>
    </dataValidation>
  </dataValidations>
  <hyperlinks>
    <hyperlink ref="B553" r:id="rId1" xr:uid="{41A751E7-6AAA-4D08-A7B4-DFD40DFC286A}"/>
  </hyperlinks>
  <pageMargins left="0.7" right="0.7" top="0.75" bottom="0.75" header="0.3" footer="0.3"/>
  <pageSetup paperSize="9" orientation="portrait" horizontalDpi="4294967293"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47C08-C80C-4CEF-84A5-04F962F8B42B}">
  <dimension ref="A2:AV597"/>
  <sheetViews>
    <sheetView topLeftCell="A34" workbookViewId="0">
      <selection activeCell="B42" sqref="B42:G42"/>
    </sheetView>
  </sheetViews>
  <sheetFormatPr defaultColWidth="8.7109375" defaultRowHeight="15" x14ac:dyDescent="0.25"/>
  <cols>
    <col min="1" max="1" width="1.5703125" style="14" customWidth="1"/>
    <col min="2" max="2" width="55.5703125" style="14" bestFit="1" customWidth="1"/>
    <col min="3" max="3" width="10.28515625" style="14" bestFit="1" customWidth="1"/>
    <col min="4" max="4" width="8.7109375" style="14"/>
    <col min="5" max="5" width="29.85546875" style="32" customWidth="1"/>
    <col min="6" max="6" width="10.28515625" style="14" bestFit="1" customWidth="1"/>
    <col min="7" max="7" width="8.7109375" style="14"/>
    <col min="8" max="8" width="24.85546875" style="14" bestFit="1" customWidth="1"/>
    <col min="9" max="9" width="11.42578125" style="14" bestFit="1" customWidth="1"/>
    <col min="10" max="10" width="1.140625" style="14" customWidth="1"/>
    <col min="11" max="16384" width="8.7109375" style="14"/>
  </cols>
  <sheetData>
    <row r="2" spans="1:14" ht="42.6" customHeight="1" x14ac:dyDescent="0.25">
      <c r="B2" s="1" t="s">
        <v>146</v>
      </c>
      <c r="C2" s="57" t="str">
        <f>_xlfn.SWITCH($B$2, "APM","Belgium","LUOMUS","Finland","MNHN","France","Naturalis","Netherlands","NHMUK","UK","RBGK","UK","UTARTU","Estonia","- -")</f>
        <v>- -</v>
      </c>
      <c r="D2" s="85" t="s">
        <v>147</v>
      </c>
      <c r="E2" s="86"/>
      <c r="F2" s="87"/>
      <c r="H2" s="80" t="s">
        <v>76</v>
      </c>
    </row>
    <row r="3" spans="1:14" ht="42.6" customHeight="1" x14ac:dyDescent="0.25">
      <c r="C3" s="57"/>
      <c r="D3" s="88"/>
      <c r="E3" s="89"/>
      <c r="F3" s="90"/>
    </row>
    <row r="5" spans="1:14" x14ac:dyDescent="0.25">
      <c r="A5" s="9"/>
      <c r="B5" s="15" t="s">
        <v>30</v>
      </c>
      <c r="C5" s="16"/>
      <c r="D5" s="16"/>
      <c r="E5" s="17"/>
      <c r="F5" s="16"/>
      <c r="G5" s="16"/>
      <c r="H5" s="16"/>
      <c r="I5" s="18"/>
    </row>
    <row r="6" spans="1:14" ht="14.45" customHeight="1" x14ac:dyDescent="0.25">
      <c r="A6" s="48"/>
      <c r="B6" s="36" t="s">
        <v>22</v>
      </c>
      <c r="C6" s="2">
        <v>2000</v>
      </c>
      <c r="D6" s="20"/>
      <c r="E6" s="49" t="s">
        <v>54</v>
      </c>
      <c r="F6" s="2"/>
      <c r="G6" s="20"/>
      <c r="H6" s="20"/>
      <c r="I6" s="22"/>
    </row>
    <row r="7" spans="1:14" ht="14.45" customHeight="1" x14ac:dyDescent="0.25">
      <c r="A7" s="9"/>
      <c r="B7" s="36" t="s">
        <v>140</v>
      </c>
      <c r="C7" s="2"/>
      <c r="D7" s="20"/>
      <c r="E7" s="20"/>
      <c r="F7" s="20"/>
      <c r="G7" s="20"/>
      <c r="H7" s="20"/>
      <c r="I7" s="22"/>
    </row>
    <row r="8" spans="1:14" ht="14.45" customHeight="1" x14ac:dyDescent="0.25">
      <c r="A8" s="9"/>
      <c r="B8" s="53" t="s">
        <v>144</v>
      </c>
      <c r="C8" s="20"/>
      <c r="D8" s="20"/>
      <c r="E8" s="20"/>
      <c r="F8" s="20"/>
      <c r="G8" s="20"/>
      <c r="H8" s="20"/>
      <c r="I8" s="22"/>
    </row>
    <row r="9" spans="1:14" ht="45" customHeight="1" x14ac:dyDescent="0.25">
      <c r="A9" s="9"/>
      <c r="B9" s="83" t="s">
        <v>153</v>
      </c>
      <c r="C9" s="84"/>
      <c r="D9" s="84"/>
      <c r="E9" s="84"/>
      <c r="F9" s="84"/>
      <c r="G9" s="84"/>
      <c r="H9" s="29"/>
      <c r="I9" s="35"/>
      <c r="K9" s="70" t="s">
        <v>76</v>
      </c>
      <c r="L9" s="71" t="s">
        <v>91</v>
      </c>
      <c r="M9" s="65"/>
      <c r="N9" s="65"/>
    </row>
    <row r="10" spans="1:14" ht="14.45" customHeight="1" x14ac:dyDescent="0.25">
      <c r="A10" s="9"/>
      <c r="B10" s="10"/>
      <c r="C10" s="11"/>
      <c r="D10" s="11"/>
      <c r="E10" s="11"/>
      <c r="F10" s="11"/>
      <c r="G10" s="12"/>
      <c r="H10" s="46" t="s">
        <v>29</v>
      </c>
      <c r="I10" s="58">
        <f>C6+F6</f>
        <v>2000</v>
      </c>
      <c r="K10" s="68">
        <f>$I$10*VLOOKUP($H$2,$B$547:$C$549,2,)</f>
        <v>2000</v>
      </c>
      <c r="L10" s="68">
        <f>$I$10*VLOOKUP($H$2,$B$547:$C$549,2,)*100/VLOOKUP($C$2,$B$555:$C$597,2,)</f>
        <v>2000</v>
      </c>
    </row>
    <row r="11" spans="1:14" ht="14.45" customHeight="1" x14ac:dyDescent="0.25">
      <c r="A11" s="9"/>
      <c r="B11" s="9"/>
      <c r="C11" s="9"/>
      <c r="D11" s="9"/>
      <c r="E11" s="9"/>
      <c r="F11" s="9"/>
      <c r="G11" s="9"/>
      <c r="H11" s="47"/>
    </row>
    <row r="12" spans="1:14" ht="14.45" customHeight="1" x14ac:dyDescent="0.25">
      <c r="B12" s="15" t="s">
        <v>27</v>
      </c>
      <c r="C12" s="16"/>
      <c r="D12" s="16"/>
      <c r="E12" s="16"/>
      <c r="F12" s="16"/>
      <c r="G12" s="16"/>
      <c r="H12" s="16"/>
      <c r="I12" s="18"/>
    </row>
    <row r="13" spans="1:14" ht="14.45" customHeight="1" x14ac:dyDescent="0.25">
      <c r="B13" s="19"/>
      <c r="C13" s="20"/>
      <c r="D13" s="20"/>
      <c r="E13" s="20"/>
      <c r="F13" s="20"/>
      <c r="G13" s="20"/>
      <c r="H13" s="29" t="s">
        <v>26</v>
      </c>
      <c r="I13" s="22"/>
    </row>
    <row r="14" spans="1:14" x14ac:dyDescent="0.25">
      <c r="A14" s="44"/>
      <c r="B14" s="36" t="s">
        <v>133</v>
      </c>
      <c r="C14" s="2">
        <v>3</v>
      </c>
      <c r="D14" s="20"/>
      <c r="E14" s="21"/>
      <c r="F14" s="20"/>
      <c r="G14" s="20"/>
      <c r="H14" s="20" t="s">
        <v>25</v>
      </c>
      <c r="I14" s="24">
        <f>(C6+C7)/C14</f>
        <v>666.66666666666663</v>
      </c>
    </row>
    <row r="15" spans="1:14" ht="17.25" x14ac:dyDescent="0.25">
      <c r="B15" s="36" t="s">
        <v>20</v>
      </c>
      <c r="C15" s="3">
        <v>12</v>
      </c>
      <c r="D15" s="20"/>
      <c r="E15" s="21" t="s">
        <v>21</v>
      </c>
      <c r="F15" s="59">
        <v>0</v>
      </c>
      <c r="G15" s="20"/>
      <c r="H15" s="20" t="s">
        <v>60</v>
      </c>
      <c r="I15" s="24">
        <f>C15*F15*12</f>
        <v>0</v>
      </c>
    </row>
    <row r="16" spans="1:14" x14ac:dyDescent="0.25">
      <c r="B16" s="36" t="s">
        <v>142</v>
      </c>
      <c r="C16" s="4">
        <v>0</v>
      </c>
      <c r="D16" s="20"/>
      <c r="E16" s="21" t="s">
        <v>141</v>
      </c>
      <c r="F16" s="2">
        <v>4635</v>
      </c>
      <c r="G16" s="20"/>
      <c r="H16" s="20" t="s">
        <v>61</v>
      </c>
      <c r="I16" s="24">
        <f>C16*F16*12</f>
        <v>0</v>
      </c>
    </row>
    <row r="17" spans="1:48" x14ac:dyDescent="0.25">
      <c r="B17" s="36"/>
      <c r="C17" s="76"/>
      <c r="D17" s="20"/>
      <c r="E17" s="21" t="s">
        <v>51</v>
      </c>
      <c r="F17" s="2">
        <v>1158</v>
      </c>
      <c r="G17" s="20"/>
      <c r="H17" s="20" t="s">
        <v>62</v>
      </c>
      <c r="I17" s="24">
        <f>F17*12</f>
        <v>13896</v>
      </c>
    </row>
    <row r="18" spans="1:48" x14ac:dyDescent="0.25">
      <c r="B18" s="36"/>
      <c r="C18" s="77"/>
      <c r="D18" s="20"/>
      <c r="E18" s="21" t="s">
        <v>53</v>
      </c>
      <c r="F18" s="2">
        <v>65</v>
      </c>
      <c r="G18" s="20"/>
      <c r="H18" s="20" t="s">
        <v>52</v>
      </c>
      <c r="I18" s="24">
        <f>F18*12</f>
        <v>780</v>
      </c>
    </row>
    <row r="19" spans="1:48" x14ac:dyDescent="0.25">
      <c r="B19" s="75"/>
      <c r="C19" s="73"/>
      <c r="D19" s="42"/>
      <c r="E19" s="91" t="s">
        <v>138</v>
      </c>
      <c r="F19" s="91"/>
      <c r="G19" s="20"/>
      <c r="H19" s="20"/>
      <c r="I19" s="22"/>
    </row>
    <row r="20" spans="1:48" x14ac:dyDescent="0.25">
      <c r="B20" s="74"/>
      <c r="C20" s="20"/>
      <c r="D20" s="20"/>
      <c r="E20" s="91" t="s">
        <v>139</v>
      </c>
      <c r="F20" s="91"/>
      <c r="G20" s="20"/>
      <c r="H20" s="26"/>
      <c r="I20" s="22"/>
      <c r="AV20" s="33"/>
    </row>
    <row r="21" spans="1:48" x14ac:dyDescent="0.25">
      <c r="B21" s="53" t="s">
        <v>143</v>
      </c>
      <c r="C21" s="20"/>
      <c r="D21" s="20"/>
      <c r="E21" s="21"/>
      <c r="F21" s="20"/>
      <c r="G21" s="20"/>
      <c r="H21" s="26"/>
      <c r="I21" s="22"/>
      <c r="AV21" s="33"/>
    </row>
    <row r="22" spans="1:48" ht="45" customHeight="1" x14ac:dyDescent="0.25">
      <c r="A22" s="9"/>
      <c r="B22" s="83" t="s">
        <v>154</v>
      </c>
      <c r="C22" s="84"/>
      <c r="D22" s="84"/>
      <c r="E22" s="84"/>
      <c r="F22" s="84"/>
      <c r="G22" s="84"/>
      <c r="H22" s="29"/>
      <c r="I22" s="35"/>
      <c r="K22" s="70" t="s">
        <v>76</v>
      </c>
      <c r="L22" s="71" t="s">
        <v>91</v>
      </c>
    </row>
    <row r="23" spans="1:48" ht="14.45" customHeight="1" x14ac:dyDescent="0.25">
      <c r="A23" s="9"/>
      <c r="B23" s="10"/>
      <c r="C23" s="11"/>
      <c r="D23" s="11"/>
      <c r="E23" s="11"/>
      <c r="F23" s="11"/>
      <c r="G23" s="12"/>
      <c r="H23" s="43" t="s">
        <v>24</v>
      </c>
      <c r="I23" s="58">
        <f>SUM(I14, I15, I16, I17, I18)</f>
        <v>15342.666666666666</v>
      </c>
      <c r="K23" s="68">
        <f>$I$23*VLOOKUP($H$2,$B$547:$C$549,2,)</f>
        <v>15342.666666666666</v>
      </c>
      <c r="L23" s="68">
        <f>$I$23*VLOOKUP($H$2,$B$547:$C$549,2,)*100/VLOOKUP($C$2,$B$555:$C$597,2,)</f>
        <v>15342.666666666664</v>
      </c>
    </row>
    <row r="24" spans="1:48" x14ac:dyDescent="0.25">
      <c r="H24" s="44"/>
      <c r="AV24" s="33"/>
    </row>
    <row r="25" spans="1:48" ht="15.95" customHeight="1" x14ac:dyDescent="0.25">
      <c r="B25" s="15" t="s">
        <v>28</v>
      </c>
      <c r="C25" s="16"/>
      <c r="D25" s="16"/>
      <c r="E25" s="17"/>
      <c r="F25" s="81" t="s">
        <v>131</v>
      </c>
      <c r="G25" s="81" t="s">
        <v>40</v>
      </c>
      <c r="H25" s="16"/>
      <c r="I25" s="18"/>
      <c r="AQ25" s="33"/>
      <c r="AR25" s="33"/>
      <c r="AS25" s="33"/>
      <c r="AT25" s="33"/>
      <c r="AU25" s="33"/>
      <c r="AV25" s="33"/>
    </row>
    <row r="26" spans="1:48" ht="15.95" customHeight="1" x14ac:dyDescent="0.25">
      <c r="B26" s="19" t="s">
        <v>37</v>
      </c>
      <c r="C26" s="20"/>
      <c r="D26" s="29" t="s">
        <v>14</v>
      </c>
      <c r="E26" s="21"/>
      <c r="F26" s="82"/>
      <c r="G26" s="82"/>
      <c r="H26" s="45" t="s">
        <v>32</v>
      </c>
      <c r="I26" s="22"/>
      <c r="AU26" s="33"/>
      <c r="AV26" s="33"/>
    </row>
    <row r="27" spans="1:48" x14ac:dyDescent="0.25">
      <c r="B27" s="5" t="s">
        <v>0</v>
      </c>
      <c r="C27" s="42"/>
      <c r="D27" s="42" t="s">
        <v>44</v>
      </c>
      <c r="E27" s="21"/>
      <c r="F27" s="54"/>
      <c r="G27" s="41">
        <f>F27*C31/60</f>
        <v>0</v>
      </c>
      <c r="H27" s="39"/>
      <c r="I27" s="24">
        <f>G27*C36*C32*12</f>
        <v>0</v>
      </c>
      <c r="AV27" s="33"/>
    </row>
    <row r="28" spans="1:48" ht="15" customHeight="1" x14ac:dyDescent="0.25">
      <c r="B28" s="5" t="s">
        <v>42</v>
      </c>
      <c r="C28" s="42"/>
      <c r="D28" s="42" t="s">
        <v>73</v>
      </c>
      <c r="E28" s="21"/>
      <c r="F28" s="54"/>
      <c r="G28" s="41">
        <f>F28*C31/60</f>
        <v>0</v>
      </c>
      <c r="H28" s="39"/>
      <c r="I28" s="24">
        <f>G28*C36*C32*12</f>
        <v>0</v>
      </c>
    </row>
    <row r="29" spans="1:48" x14ac:dyDescent="0.25">
      <c r="B29" s="5" t="s">
        <v>1</v>
      </c>
      <c r="C29" s="20"/>
      <c r="D29" s="42" t="s">
        <v>45</v>
      </c>
      <c r="E29" s="21"/>
      <c r="F29" s="54"/>
      <c r="G29" s="41">
        <f>F29*C31/60</f>
        <v>0</v>
      </c>
      <c r="H29" s="39"/>
      <c r="I29" s="24">
        <f>G29*C36*C32*12</f>
        <v>0</v>
      </c>
    </row>
    <row r="30" spans="1:48" x14ac:dyDescent="0.25">
      <c r="B30" s="5" t="s">
        <v>15</v>
      </c>
      <c r="C30" s="21"/>
      <c r="D30" s="42" t="s">
        <v>74</v>
      </c>
      <c r="E30" s="21"/>
      <c r="F30" s="54"/>
      <c r="G30" s="41">
        <f>F30*C31/60</f>
        <v>0</v>
      </c>
      <c r="H30" s="39"/>
      <c r="I30" s="24">
        <f>G30*C36*C32*12</f>
        <v>0</v>
      </c>
    </row>
    <row r="31" spans="1:48" x14ac:dyDescent="0.25">
      <c r="B31" s="23" t="s">
        <v>136</v>
      </c>
      <c r="C31" s="7">
        <v>1</v>
      </c>
      <c r="D31" s="42" t="s">
        <v>46</v>
      </c>
      <c r="E31" s="21"/>
      <c r="F31" s="54"/>
      <c r="G31" s="41">
        <f>F31*C31/60</f>
        <v>0</v>
      </c>
      <c r="H31" s="39"/>
      <c r="I31" s="24">
        <f>G31*C36*C32*12</f>
        <v>0</v>
      </c>
    </row>
    <row r="32" spans="1:48" x14ac:dyDescent="0.25">
      <c r="B32" s="23" t="s">
        <v>48</v>
      </c>
      <c r="C32" s="6">
        <v>100</v>
      </c>
      <c r="D32" s="42"/>
      <c r="E32" s="21"/>
      <c r="F32" s="20"/>
      <c r="G32" s="20"/>
      <c r="H32" s="39"/>
      <c r="I32" s="22"/>
    </row>
    <row r="33" spans="1:12" x14ac:dyDescent="0.25">
      <c r="B33" s="23" t="s">
        <v>58</v>
      </c>
      <c r="C33" s="7">
        <v>1</v>
      </c>
      <c r="D33" s="20"/>
      <c r="E33" s="42" t="s">
        <v>47</v>
      </c>
      <c r="F33" s="20"/>
      <c r="G33" s="20"/>
      <c r="H33" s="20"/>
      <c r="I33" s="22"/>
    </row>
    <row r="34" spans="1:12" x14ac:dyDescent="0.25">
      <c r="B34" s="23" t="s">
        <v>23</v>
      </c>
      <c r="C34" s="60">
        <v>4635</v>
      </c>
      <c r="D34" s="21"/>
      <c r="E34" s="21" t="s">
        <v>57</v>
      </c>
      <c r="F34" s="8">
        <v>90</v>
      </c>
      <c r="G34" s="20"/>
      <c r="H34" s="20"/>
      <c r="I34" s="22"/>
    </row>
    <row r="35" spans="1:12" x14ac:dyDescent="0.25">
      <c r="B35" s="23" t="s">
        <v>39</v>
      </c>
      <c r="C35" s="7">
        <v>38</v>
      </c>
      <c r="D35" s="20"/>
      <c r="E35" s="21"/>
      <c r="F35" s="20"/>
      <c r="G35" s="20"/>
      <c r="H35" s="20"/>
      <c r="I35" s="22"/>
    </row>
    <row r="36" spans="1:12" x14ac:dyDescent="0.25">
      <c r="B36" s="36" t="s">
        <v>63</v>
      </c>
      <c r="C36" s="61">
        <f>C33*C34/4.333/C35</f>
        <v>28.149938659249091</v>
      </c>
      <c r="D36" s="20"/>
      <c r="E36" s="21" t="s">
        <v>132</v>
      </c>
      <c r="F36" s="37">
        <f>IF(F34=0,SUM(F27:F31),F34)</f>
        <v>90</v>
      </c>
      <c r="G36" s="38">
        <f>IF(F34=0,F36*C31/60,F34*C31/60)</f>
        <v>1.5</v>
      </c>
      <c r="H36" s="20"/>
      <c r="I36" s="22"/>
    </row>
    <row r="37" spans="1:12" x14ac:dyDescent="0.25">
      <c r="B37" s="36"/>
      <c r="C37" s="39"/>
      <c r="D37" s="20"/>
      <c r="E37" s="40"/>
      <c r="F37" s="26"/>
      <c r="G37" s="26"/>
      <c r="H37" s="20"/>
      <c r="I37" s="22"/>
    </row>
    <row r="38" spans="1:12" x14ac:dyDescent="0.25">
      <c r="B38" s="23" t="s">
        <v>134</v>
      </c>
      <c r="C38" s="39"/>
      <c r="D38" s="20"/>
      <c r="E38" s="40"/>
      <c r="F38" s="26"/>
      <c r="G38" s="26"/>
      <c r="H38" s="20"/>
      <c r="I38" s="22"/>
    </row>
    <row r="39" spans="1:12" x14ac:dyDescent="0.25">
      <c r="B39" s="23" t="s">
        <v>135</v>
      </c>
      <c r="C39" s="62"/>
      <c r="D39" s="20"/>
      <c r="E39" s="21"/>
      <c r="F39" s="20"/>
      <c r="G39" s="41"/>
      <c r="H39" s="20" t="s">
        <v>56</v>
      </c>
      <c r="I39" s="24">
        <f>C39*C32*12</f>
        <v>0</v>
      </c>
    </row>
    <row r="40" spans="1:12" ht="14.45" customHeight="1" x14ac:dyDescent="0.25">
      <c r="B40" s="23"/>
      <c r="C40" s="39"/>
      <c r="D40" s="20"/>
      <c r="E40" s="21"/>
      <c r="F40" s="20"/>
      <c r="G40" s="41"/>
      <c r="H40" s="20"/>
      <c r="I40" s="35"/>
    </row>
    <row r="41" spans="1:12" ht="14.45" customHeight="1" x14ac:dyDescent="0.25">
      <c r="B41" s="50" t="s">
        <v>72</v>
      </c>
      <c r="C41" s="51"/>
      <c r="D41" s="51"/>
      <c r="E41" s="51"/>
      <c r="F41" s="51"/>
      <c r="G41" s="52"/>
      <c r="H41" s="20"/>
      <c r="I41" s="35"/>
    </row>
    <row r="42" spans="1:12" ht="45" customHeight="1" x14ac:dyDescent="0.25">
      <c r="A42" s="9"/>
      <c r="B42" s="83" t="s">
        <v>160</v>
      </c>
      <c r="C42" s="84"/>
      <c r="D42" s="84"/>
      <c r="E42" s="84"/>
      <c r="F42" s="84"/>
      <c r="G42" s="84"/>
      <c r="H42" s="29"/>
      <c r="I42" s="35"/>
      <c r="K42" s="70" t="s">
        <v>76</v>
      </c>
      <c r="L42" s="71" t="s">
        <v>91</v>
      </c>
    </row>
    <row r="43" spans="1:12" x14ac:dyDescent="0.25">
      <c r="A43" s="9"/>
      <c r="B43" s="10"/>
      <c r="C43" s="11"/>
      <c r="D43" s="11"/>
      <c r="E43" s="11"/>
      <c r="F43" s="11"/>
      <c r="G43" s="12"/>
      <c r="H43" s="13" t="s">
        <v>55</v>
      </c>
      <c r="I43" s="58">
        <f>IF(F34=0, SUM(I27:I31, I39), (G36*C36*C32*12)+I39)</f>
        <v>50669.889586648365</v>
      </c>
      <c r="K43" s="68">
        <f>$I$43*VLOOKUP($H$2,$B$547:$C$549,2,)</f>
        <v>50669.889586648365</v>
      </c>
      <c r="L43" s="68">
        <f>$I$43*VLOOKUP($H$2,$B$547:$C$549,2,)*100/VLOOKUP($C$2,$B$555:$C$597,2,)</f>
        <v>50669.889586648365</v>
      </c>
    </row>
    <row r="49" spans="2:12" x14ac:dyDescent="0.25">
      <c r="B49" s="15" t="s">
        <v>66</v>
      </c>
      <c r="C49" s="16"/>
      <c r="D49" s="16"/>
      <c r="E49" s="17"/>
      <c r="F49" s="16"/>
      <c r="G49" s="16"/>
      <c r="H49" s="16"/>
      <c r="I49" s="18"/>
    </row>
    <row r="50" spans="2:12" x14ac:dyDescent="0.25">
      <c r="B50" s="19"/>
      <c r="C50" s="20"/>
      <c r="D50" s="20"/>
      <c r="E50" s="21"/>
      <c r="F50" s="20"/>
      <c r="G50" s="20"/>
      <c r="H50" s="20"/>
      <c r="I50" s="22"/>
    </row>
    <row r="51" spans="2:12" x14ac:dyDescent="0.25">
      <c r="B51" s="19" t="s">
        <v>64</v>
      </c>
      <c r="C51" s="24">
        <f>C36+(C16*F16*12/52/C35)</f>
        <v>28.149938659249091</v>
      </c>
      <c r="D51" s="20"/>
      <c r="E51" s="21"/>
      <c r="F51" s="20"/>
      <c r="G51" s="20"/>
      <c r="H51" s="20"/>
      <c r="I51" s="22"/>
    </row>
    <row r="52" spans="2:12" x14ac:dyDescent="0.25">
      <c r="B52" s="19" t="s">
        <v>65</v>
      </c>
      <c r="C52" s="24">
        <f>I23</f>
        <v>15342.666666666666</v>
      </c>
      <c r="D52" s="20"/>
      <c r="E52" s="21"/>
      <c r="F52" s="20"/>
      <c r="G52" s="20"/>
      <c r="H52" s="20"/>
      <c r="I52" s="22"/>
    </row>
    <row r="53" spans="2:12" x14ac:dyDescent="0.25">
      <c r="B53" s="23" t="s">
        <v>67</v>
      </c>
      <c r="C53" s="24">
        <f>G36*C36+C39</f>
        <v>42.224907988873639</v>
      </c>
      <c r="D53" s="20"/>
      <c r="E53" s="20"/>
      <c r="F53" s="20"/>
      <c r="G53" s="20"/>
      <c r="H53" s="20"/>
      <c r="I53" s="22"/>
    </row>
    <row r="54" spans="2:12" x14ac:dyDescent="0.25">
      <c r="B54" s="19"/>
      <c r="C54" s="20"/>
      <c r="D54" s="20"/>
      <c r="E54" s="21"/>
      <c r="F54" s="20"/>
      <c r="G54" s="20"/>
      <c r="H54" s="20"/>
      <c r="I54" s="22"/>
    </row>
    <row r="55" spans="2:12" x14ac:dyDescent="0.25">
      <c r="B55" s="19" t="s">
        <v>68</v>
      </c>
      <c r="C55" s="24">
        <f>C32*12</f>
        <v>1200</v>
      </c>
      <c r="D55" s="20"/>
      <c r="E55" s="21"/>
      <c r="F55" s="20"/>
      <c r="G55" s="20"/>
      <c r="H55" s="20"/>
      <c r="I55" s="22"/>
    </row>
    <row r="56" spans="2:12" x14ac:dyDescent="0.25">
      <c r="B56" s="19" t="s">
        <v>69</v>
      </c>
      <c r="C56" s="24">
        <f>C55*C31</f>
        <v>1200</v>
      </c>
      <c r="D56" s="20"/>
      <c r="E56" s="21"/>
      <c r="F56" s="20"/>
      <c r="G56" s="20"/>
      <c r="H56" s="20"/>
      <c r="I56" s="22"/>
    </row>
    <row r="57" spans="2:12" x14ac:dyDescent="0.25">
      <c r="B57" s="19"/>
      <c r="C57" s="25"/>
      <c r="D57" s="20"/>
      <c r="E57" s="21"/>
      <c r="F57" s="20"/>
      <c r="G57" s="20"/>
      <c r="H57" s="20"/>
      <c r="I57" s="22"/>
      <c r="K57" s="70" t="s">
        <v>76</v>
      </c>
      <c r="L57" s="71" t="s">
        <v>91</v>
      </c>
    </row>
    <row r="58" spans="2:12" x14ac:dyDescent="0.25">
      <c r="B58" s="19"/>
      <c r="C58" s="20"/>
      <c r="D58" s="20"/>
      <c r="E58" s="21"/>
      <c r="F58" s="20"/>
      <c r="G58" s="20"/>
      <c r="H58" s="26"/>
      <c r="I58" s="27"/>
    </row>
    <row r="59" spans="2:12" x14ac:dyDescent="0.25">
      <c r="B59" s="28" t="s">
        <v>71</v>
      </c>
      <c r="C59" s="58">
        <f>C53+(C52/C55)</f>
        <v>55.010463544429193</v>
      </c>
      <c r="D59" s="20"/>
      <c r="E59" s="21"/>
      <c r="F59" s="20"/>
      <c r="G59" s="20"/>
      <c r="H59" s="29" t="s">
        <v>59</v>
      </c>
      <c r="I59" s="58">
        <f>C53*C55+C52</f>
        <v>66012.556253315037</v>
      </c>
      <c r="K59" s="68">
        <f>$I$59*VLOOKUP($H$2,$B$547:$C$549,2,)</f>
        <v>66012.556253315037</v>
      </c>
      <c r="L59" s="68">
        <f>$I$59*VLOOKUP($H$2,$B$547:$C$549,2,)*100/VLOOKUP($C$2,$B$555:$C$597,2,)</f>
        <v>66012.556253315037</v>
      </c>
    </row>
    <row r="60" spans="2:12" x14ac:dyDescent="0.25">
      <c r="B60" s="30" t="s">
        <v>70</v>
      </c>
      <c r="C60" s="58">
        <f>C59/C31</f>
        <v>55.010463544429193</v>
      </c>
      <c r="D60" s="12"/>
      <c r="E60" s="31"/>
      <c r="F60" s="12"/>
      <c r="G60" s="12"/>
      <c r="H60" s="12"/>
      <c r="I60" s="27"/>
    </row>
    <row r="62" spans="2:12" x14ac:dyDescent="0.25">
      <c r="C62" s="66" t="s">
        <v>76</v>
      </c>
      <c r="D62" s="67" t="s">
        <v>91</v>
      </c>
    </row>
    <row r="63" spans="2:12" x14ac:dyDescent="0.25">
      <c r="B63" s="44" t="s">
        <v>71</v>
      </c>
      <c r="C63" s="68">
        <f>$C$59*VLOOKUP($H$2,$B$547:$C$549,2,)</f>
        <v>55.010463544429193</v>
      </c>
      <c r="D63" s="68">
        <f>$C$59*VLOOKUP($H$2,$B$547:$C$549,2,)*100/VLOOKUP($C$2,$B$555:$C$597,2,)</f>
        <v>55.010463544429193</v>
      </c>
    </row>
    <row r="64" spans="2:12" x14ac:dyDescent="0.25">
      <c r="B64" s="44" t="s">
        <v>70</v>
      </c>
      <c r="C64" s="69">
        <f>$C$60*VLOOKUP($H$2,$B$547:$C$549,2,)</f>
        <v>55.010463544429193</v>
      </c>
      <c r="D64" s="69">
        <f>$C$60*VLOOKUP($H$2,$B$547:$C$549,2,)*100/VLOOKUP($C$2,$B$555:$C$597,2,)</f>
        <v>55.010463544429193</v>
      </c>
    </row>
    <row r="517" spans="2:21" x14ac:dyDescent="0.25">
      <c r="B517" s="14" t="s">
        <v>50</v>
      </c>
    </row>
    <row r="520" spans="2:21" x14ac:dyDescent="0.25">
      <c r="B520" s="14" t="s">
        <v>31</v>
      </c>
      <c r="E520" s="33" t="s">
        <v>33</v>
      </c>
      <c r="H520" s="33" t="s">
        <v>34</v>
      </c>
      <c r="J520" s="33" t="s">
        <v>35</v>
      </c>
      <c r="M520" s="33" t="s">
        <v>36</v>
      </c>
      <c r="P520" s="14" t="s">
        <v>38</v>
      </c>
      <c r="Q520" s="33"/>
      <c r="U520" s="14" t="s">
        <v>49</v>
      </c>
    </row>
    <row r="521" spans="2:21" x14ac:dyDescent="0.25">
      <c r="B521" s="34" t="s">
        <v>137</v>
      </c>
      <c r="E521" s="33" t="s">
        <v>15</v>
      </c>
      <c r="H521" s="33">
        <v>1</v>
      </c>
      <c r="J521" s="33" t="s">
        <v>41</v>
      </c>
      <c r="M521" s="33" t="s">
        <v>1</v>
      </c>
      <c r="P521" s="14">
        <v>0</v>
      </c>
      <c r="U521" s="14" t="s">
        <v>10</v>
      </c>
    </row>
    <row r="522" spans="2:21" x14ac:dyDescent="0.25">
      <c r="B522" s="34" t="s">
        <v>18</v>
      </c>
      <c r="E522" s="33" t="s">
        <v>16</v>
      </c>
      <c r="H522" s="33">
        <v>10</v>
      </c>
      <c r="J522" s="33" t="s">
        <v>42</v>
      </c>
      <c r="M522" s="33" t="s">
        <v>2</v>
      </c>
      <c r="P522" s="14">
        <v>1</v>
      </c>
      <c r="U522" s="14" t="s">
        <v>12</v>
      </c>
    </row>
    <row r="523" spans="2:21" x14ac:dyDescent="0.25">
      <c r="B523" s="34" t="s">
        <v>4</v>
      </c>
      <c r="E523" s="33" t="s">
        <v>17</v>
      </c>
      <c r="H523" s="33">
        <v>50</v>
      </c>
      <c r="J523" s="33" t="s">
        <v>43</v>
      </c>
      <c r="M523" s="33" t="s">
        <v>3</v>
      </c>
      <c r="P523" s="14">
        <v>2</v>
      </c>
      <c r="U523" s="14" t="s">
        <v>80</v>
      </c>
    </row>
    <row r="524" spans="2:21" x14ac:dyDescent="0.25">
      <c r="B524" s="34" t="s">
        <v>5</v>
      </c>
      <c r="E524" s="33" t="s">
        <v>0</v>
      </c>
      <c r="H524" s="33">
        <v>100</v>
      </c>
      <c r="P524" s="14">
        <v>3</v>
      </c>
      <c r="U524" s="14" t="s">
        <v>11</v>
      </c>
    </row>
    <row r="525" spans="2:21" x14ac:dyDescent="0.25">
      <c r="B525" s="34" t="s">
        <v>6</v>
      </c>
      <c r="E525" s="14"/>
      <c r="H525" s="33">
        <v>500</v>
      </c>
      <c r="P525" s="14">
        <v>4</v>
      </c>
      <c r="U525" s="14" t="s">
        <v>82</v>
      </c>
    </row>
    <row r="526" spans="2:21" x14ac:dyDescent="0.25">
      <c r="B526" s="34" t="s">
        <v>9</v>
      </c>
      <c r="E526" s="14"/>
      <c r="H526" s="33">
        <v>1000</v>
      </c>
      <c r="P526" s="14">
        <v>5</v>
      </c>
      <c r="U526" s="14" t="s">
        <v>81</v>
      </c>
    </row>
    <row r="527" spans="2:21" x14ac:dyDescent="0.25">
      <c r="B527" s="34" t="s">
        <v>7</v>
      </c>
      <c r="E527" s="14"/>
      <c r="H527" s="33">
        <v>5000</v>
      </c>
      <c r="P527" s="14">
        <v>6</v>
      </c>
      <c r="U527" s="14" t="s">
        <v>13</v>
      </c>
    </row>
    <row r="528" spans="2:21" x14ac:dyDescent="0.25">
      <c r="B528" s="34" t="s">
        <v>8</v>
      </c>
      <c r="E528" s="14"/>
      <c r="H528" s="33">
        <v>10000</v>
      </c>
      <c r="P528" s="14">
        <v>7</v>
      </c>
    </row>
    <row r="529" spans="2:16" x14ac:dyDescent="0.25">
      <c r="B529" s="34" t="s">
        <v>19</v>
      </c>
      <c r="E529" s="14"/>
      <c r="H529" s="33">
        <v>50000</v>
      </c>
      <c r="P529" s="14">
        <v>8</v>
      </c>
    </row>
    <row r="530" spans="2:16" x14ac:dyDescent="0.25">
      <c r="B530" s="34" t="s">
        <v>0</v>
      </c>
      <c r="E530" s="14"/>
      <c r="H530" s="33">
        <v>100000</v>
      </c>
      <c r="P530" s="14">
        <v>9</v>
      </c>
    </row>
    <row r="531" spans="2:16" x14ac:dyDescent="0.25">
      <c r="E531" s="14"/>
      <c r="H531" s="33"/>
      <c r="P531" s="14">
        <v>10</v>
      </c>
    </row>
    <row r="532" spans="2:16" x14ac:dyDescent="0.25">
      <c r="E532" s="14"/>
    </row>
    <row r="533" spans="2:16" x14ac:dyDescent="0.25">
      <c r="E533" s="14"/>
    </row>
    <row r="539" spans="2:16" x14ac:dyDescent="0.25">
      <c r="B539" s="14" t="s">
        <v>78</v>
      </c>
    </row>
    <row r="541" spans="2:16" x14ac:dyDescent="0.25">
      <c r="B541" s="14" t="s">
        <v>83</v>
      </c>
    </row>
    <row r="542" spans="2:16" x14ac:dyDescent="0.25">
      <c r="B542" s="34" t="s">
        <v>76</v>
      </c>
      <c r="E542" s="34"/>
      <c r="F542" s="34"/>
      <c r="G542" s="34"/>
      <c r="H542" s="34"/>
    </row>
    <row r="543" spans="2:16" x14ac:dyDescent="0.25">
      <c r="B543" s="34" t="s">
        <v>75</v>
      </c>
      <c r="E543" s="34"/>
      <c r="F543" s="34"/>
      <c r="G543" s="34"/>
      <c r="H543" s="34"/>
    </row>
    <row r="544" spans="2:16" x14ac:dyDescent="0.25">
      <c r="B544" s="34" t="s">
        <v>77</v>
      </c>
      <c r="C544" s="34"/>
      <c r="D544" s="34"/>
      <c r="E544" s="34"/>
      <c r="F544" s="34"/>
      <c r="G544" s="34"/>
      <c r="H544" s="34"/>
    </row>
    <row r="545" spans="2:8" x14ac:dyDescent="0.25">
      <c r="C545" s="34"/>
      <c r="D545" s="34"/>
      <c r="E545" s="34"/>
      <c r="F545" s="34"/>
      <c r="G545" s="34"/>
      <c r="H545" s="34"/>
    </row>
    <row r="546" spans="2:8" x14ac:dyDescent="0.25">
      <c r="B546" s="56" t="s">
        <v>90</v>
      </c>
      <c r="C546" s="56" t="s">
        <v>79</v>
      </c>
      <c r="D546" s="56"/>
      <c r="E546" s="34"/>
      <c r="H546" s="34"/>
    </row>
    <row r="547" spans="2:8" x14ac:dyDescent="0.25">
      <c r="B547" s="34" t="s">
        <v>76</v>
      </c>
      <c r="C547" s="78">
        <v>1</v>
      </c>
      <c r="D547" s="34"/>
      <c r="E547" s="34"/>
      <c r="F547" s="34"/>
      <c r="G547" s="34"/>
      <c r="H547" s="34"/>
    </row>
    <row r="548" spans="2:8" x14ac:dyDescent="0.25">
      <c r="B548" s="34" t="s">
        <v>75</v>
      </c>
      <c r="C548" s="78">
        <v>1.1355900000000001</v>
      </c>
      <c r="D548" s="78"/>
      <c r="E548" s="34"/>
      <c r="F548" s="34"/>
      <c r="G548" s="34"/>
      <c r="H548" s="34"/>
    </row>
    <row r="549" spans="2:8" x14ac:dyDescent="0.25">
      <c r="B549" s="34" t="s">
        <v>77</v>
      </c>
      <c r="C549" s="55">
        <v>0.89676</v>
      </c>
    </row>
    <row r="552" spans="2:8" x14ac:dyDescent="0.25">
      <c r="B552" s="56" t="s">
        <v>92</v>
      </c>
      <c r="C552" s="72"/>
    </row>
    <row r="553" spans="2:8" x14ac:dyDescent="0.25">
      <c r="B553" s="79" t="s">
        <v>145</v>
      </c>
    </row>
    <row r="555" spans="2:8" x14ac:dyDescent="0.25">
      <c r="B555" s="64" t="s">
        <v>89</v>
      </c>
      <c r="C555" s="63">
        <v>100</v>
      </c>
    </row>
    <row r="556" spans="2:8" x14ac:dyDescent="0.25">
      <c r="B556" s="14" t="s">
        <v>93</v>
      </c>
      <c r="C556" s="14">
        <v>100</v>
      </c>
    </row>
    <row r="557" spans="2:8" x14ac:dyDescent="0.25">
      <c r="B557" s="14" t="s">
        <v>84</v>
      </c>
      <c r="C557" s="14">
        <v>110.8</v>
      </c>
    </row>
    <row r="558" spans="2:8" x14ac:dyDescent="0.25">
      <c r="B558" s="14" t="s">
        <v>94</v>
      </c>
      <c r="C558" s="14">
        <v>49.6</v>
      </c>
    </row>
    <row r="559" spans="2:8" x14ac:dyDescent="0.25">
      <c r="B559" s="14" t="s">
        <v>95</v>
      </c>
      <c r="C559" s="14">
        <v>68.2</v>
      </c>
    </row>
    <row r="560" spans="2:8" x14ac:dyDescent="0.25">
      <c r="B560" s="14" t="s">
        <v>96</v>
      </c>
      <c r="C560" s="14">
        <v>138.9</v>
      </c>
    </row>
    <row r="561" spans="2:3" x14ac:dyDescent="0.25">
      <c r="B561" s="14" t="s">
        <v>97</v>
      </c>
      <c r="C561" s="14">
        <v>104</v>
      </c>
    </row>
    <row r="562" spans="2:3" x14ac:dyDescent="0.25">
      <c r="B562" s="14" t="s">
        <v>88</v>
      </c>
      <c r="C562" s="14">
        <v>78.099999999999994</v>
      </c>
    </row>
    <row r="563" spans="2:3" x14ac:dyDescent="0.25">
      <c r="B563" s="14" t="s">
        <v>98</v>
      </c>
      <c r="C563" s="14">
        <v>127.2</v>
      </c>
    </row>
    <row r="564" spans="2:3" x14ac:dyDescent="0.25">
      <c r="B564" s="14" t="s">
        <v>99</v>
      </c>
      <c r="C564" s="14">
        <v>85.4</v>
      </c>
    </row>
    <row r="565" spans="2:3" x14ac:dyDescent="0.25">
      <c r="B565" s="14" t="s">
        <v>100</v>
      </c>
      <c r="C565" s="14">
        <v>92.5</v>
      </c>
    </row>
    <row r="566" spans="2:3" x14ac:dyDescent="0.25">
      <c r="B566" s="14" t="s">
        <v>86</v>
      </c>
      <c r="C566" s="14">
        <v>109.5</v>
      </c>
    </row>
    <row r="567" spans="2:3" x14ac:dyDescent="0.25">
      <c r="B567" s="14" t="s">
        <v>101</v>
      </c>
      <c r="C567" s="14">
        <v>67.400000000000006</v>
      </c>
    </row>
    <row r="568" spans="2:3" x14ac:dyDescent="0.25">
      <c r="B568" s="14" t="s">
        <v>102</v>
      </c>
      <c r="C568" s="14">
        <v>100.9</v>
      </c>
    </row>
    <row r="569" spans="2:3" x14ac:dyDescent="0.25">
      <c r="B569" s="14" t="s">
        <v>103</v>
      </c>
      <c r="C569" s="14">
        <v>89.5</v>
      </c>
    </row>
    <row r="570" spans="2:3" x14ac:dyDescent="0.25">
      <c r="B570" s="14" t="s">
        <v>104</v>
      </c>
      <c r="C570" s="14">
        <v>72.8</v>
      </c>
    </row>
    <row r="571" spans="2:3" x14ac:dyDescent="0.25">
      <c r="B571" s="14" t="s">
        <v>105</v>
      </c>
      <c r="C571" s="14">
        <v>64.5</v>
      </c>
    </row>
    <row r="572" spans="2:3" x14ac:dyDescent="0.25">
      <c r="B572" s="14" t="s">
        <v>106</v>
      </c>
      <c r="C572" s="14">
        <v>125.9</v>
      </c>
    </row>
    <row r="573" spans="2:3" x14ac:dyDescent="0.25">
      <c r="B573" s="14" t="s">
        <v>107</v>
      </c>
      <c r="C573" s="14">
        <v>63</v>
      </c>
    </row>
    <row r="574" spans="2:3" x14ac:dyDescent="0.25">
      <c r="B574" s="14" t="s">
        <v>108</v>
      </c>
      <c r="C574" s="14">
        <v>81.7</v>
      </c>
    </row>
    <row r="575" spans="2:3" x14ac:dyDescent="0.25">
      <c r="B575" s="14" t="s">
        <v>87</v>
      </c>
      <c r="C575" s="14">
        <v>112.1</v>
      </c>
    </row>
    <row r="576" spans="2:3" x14ac:dyDescent="0.25">
      <c r="B576" s="14" t="s">
        <v>109</v>
      </c>
      <c r="C576" s="14">
        <v>108.6</v>
      </c>
    </row>
    <row r="577" spans="2:3" x14ac:dyDescent="0.25">
      <c r="B577" s="14" t="s">
        <v>110</v>
      </c>
      <c r="C577" s="14">
        <v>56.7</v>
      </c>
    </row>
    <row r="578" spans="2:3" x14ac:dyDescent="0.25">
      <c r="B578" s="14" t="s">
        <v>111</v>
      </c>
      <c r="C578" s="14">
        <v>86</v>
      </c>
    </row>
    <row r="579" spans="2:3" x14ac:dyDescent="0.25">
      <c r="B579" s="14" t="s">
        <v>112</v>
      </c>
      <c r="C579" s="14">
        <v>52.6</v>
      </c>
    </row>
    <row r="580" spans="2:3" x14ac:dyDescent="0.25">
      <c r="B580" s="14" t="s">
        <v>113</v>
      </c>
      <c r="C580" s="14">
        <v>83.8</v>
      </c>
    </row>
    <row r="581" spans="2:3" x14ac:dyDescent="0.25">
      <c r="B581" s="14" t="s">
        <v>114</v>
      </c>
      <c r="C581" s="14">
        <v>69.8</v>
      </c>
    </row>
    <row r="582" spans="2:3" x14ac:dyDescent="0.25">
      <c r="B582" s="14" t="s">
        <v>85</v>
      </c>
      <c r="C582" s="14">
        <v>122.4</v>
      </c>
    </row>
    <row r="583" spans="2:3" x14ac:dyDescent="0.25">
      <c r="B583" s="14" t="s">
        <v>115</v>
      </c>
      <c r="C583" s="14">
        <v>125.5</v>
      </c>
    </row>
    <row r="584" spans="2:3" x14ac:dyDescent="0.25">
      <c r="B584" s="14" t="s">
        <v>116</v>
      </c>
      <c r="C584" s="14">
        <v>116.4</v>
      </c>
    </row>
    <row r="585" spans="2:3" x14ac:dyDescent="0.25">
      <c r="B585" s="14" t="s">
        <v>117</v>
      </c>
      <c r="C585" s="14">
        <v>166.1</v>
      </c>
    </row>
    <row r="586" spans="2:3" x14ac:dyDescent="0.25">
      <c r="B586" s="14" t="s">
        <v>118</v>
      </c>
      <c r="C586" s="32" t="s">
        <v>119</v>
      </c>
    </row>
    <row r="587" spans="2:3" x14ac:dyDescent="0.25">
      <c r="B587" s="14" t="s">
        <v>120</v>
      </c>
      <c r="C587" s="14">
        <v>149.5</v>
      </c>
    </row>
    <row r="588" spans="2:3" x14ac:dyDescent="0.25">
      <c r="B588" s="14" t="s">
        <v>121</v>
      </c>
      <c r="C588" s="14">
        <v>159.9</v>
      </c>
    </row>
    <row r="589" spans="2:3" x14ac:dyDescent="0.25">
      <c r="B589" s="14" t="s">
        <v>122</v>
      </c>
      <c r="C589" s="14">
        <v>55.6</v>
      </c>
    </row>
    <row r="590" spans="2:3" x14ac:dyDescent="0.25">
      <c r="B590" s="14" t="s">
        <v>123</v>
      </c>
      <c r="C590" s="14">
        <v>47.9</v>
      </c>
    </row>
    <row r="591" spans="2:3" x14ac:dyDescent="0.25">
      <c r="B591" s="14" t="s">
        <v>124</v>
      </c>
      <c r="C591" s="14">
        <v>49.8</v>
      </c>
    </row>
    <row r="592" spans="2:3" x14ac:dyDescent="0.25">
      <c r="B592" s="14" t="s">
        <v>125</v>
      </c>
      <c r="C592" s="14">
        <v>51.9</v>
      </c>
    </row>
    <row r="593" spans="2:3" x14ac:dyDescent="0.25">
      <c r="B593" s="14" t="s">
        <v>126</v>
      </c>
      <c r="C593" s="14">
        <v>52.7</v>
      </c>
    </row>
    <row r="594" spans="2:3" x14ac:dyDescent="0.25">
      <c r="B594" s="14" t="s">
        <v>127</v>
      </c>
      <c r="C594" s="14">
        <v>52</v>
      </c>
    </row>
    <row r="595" spans="2:3" x14ac:dyDescent="0.25">
      <c r="B595" s="14" t="s">
        <v>128</v>
      </c>
      <c r="C595" s="14">
        <v>52.1</v>
      </c>
    </row>
    <row r="596" spans="2:3" x14ac:dyDescent="0.25">
      <c r="B596" s="14" t="s">
        <v>129</v>
      </c>
      <c r="C596" s="14">
        <v>114.4</v>
      </c>
    </row>
    <row r="597" spans="2:3" x14ac:dyDescent="0.25">
      <c r="B597" s="14" t="s">
        <v>130</v>
      </c>
      <c r="C597" s="14">
        <v>110.8</v>
      </c>
    </row>
  </sheetData>
  <sheetProtection password="D792" sheet="1" selectLockedCells="1"/>
  <protectedRanges>
    <protectedRange sqref="B2 D2:F3 H2" name="Headings"/>
  </protectedRanges>
  <mergeCells count="9">
    <mergeCell ref="F25:F26"/>
    <mergeCell ref="G25:G26"/>
    <mergeCell ref="B42:G42"/>
    <mergeCell ref="D2:F2"/>
    <mergeCell ref="D3:F3"/>
    <mergeCell ref="B9:G9"/>
    <mergeCell ref="E19:F19"/>
    <mergeCell ref="E20:F20"/>
    <mergeCell ref="B22:G22"/>
  </mergeCells>
  <conditionalFormatting sqref="C6 F6 I10 I14:I18 F16:F18 I23 C34 I27:I31 I39 I43 C52:C53 C59 I59">
    <cfRule type="expression" dxfId="99" priority="10">
      <formula>$H$2="£ Sterling"</formula>
    </cfRule>
  </conditionalFormatting>
  <conditionalFormatting sqref="C6 F6 I10 I14:I18 F16:F18 I23 C34 I27:I31 I39 I43 C52:C53 C59 I59">
    <cfRule type="expression" dxfId="98" priority="9">
      <formula>$H$2="$ US Dollars"</formula>
    </cfRule>
  </conditionalFormatting>
  <conditionalFormatting sqref="C6 F6 I10 I14:I18 F16:F18 I23 C34 I27:I31 I39 I43 C52:C53 C59 I59">
    <cfRule type="expression" dxfId="97" priority="8">
      <formula>$H$2="€ Euros"</formula>
    </cfRule>
  </conditionalFormatting>
  <conditionalFormatting sqref="F15 C36 C39 C51 C60">
    <cfRule type="expression" dxfId="96" priority="5">
      <formula>$H$2="$ US Dollars"</formula>
    </cfRule>
    <cfRule type="expression" dxfId="95" priority="6">
      <formula>$H$2="£ Sterling"</formula>
    </cfRule>
    <cfRule type="expression" dxfId="94" priority="7">
      <formula>$H$2="€ Euros"</formula>
    </cfRule>
  </conditionalFormatting>
  <conditionalFormatting sqref="L12">
    <cfRule type="expression" dxfId="93" priority="4">
      <formula>$H$2="€ Euros"</formula>
    </cfRule>
  </conditionalFormatting>
  <conditionalFormatting sqref="C7">
    <cfRule type="expression" dxfId="92" priority="3">
      <formula>$H$2="£ Sterling"</formula>
    </cfRule>
  </conditionalFormatting>
  <conditionalFormatting sqref="C7">
    <cfRule type="expression" dxfId="91" priority="2">
      <formula>$H$2="$ US Dollars"</formula>
    </cfRule>
  </conditionalFormatting>
  <conditionalFormatting sqref="C7">
    <cfRule type="expression" dxfId="90" priority="1">
      <formula>$H$2="€ Euros"</formula>
    </cfRule>
  </conditionalFormatting>
  <dataValidations count="21">
    <dataValidation type="decimal" showInputMessage="1" showErrorMessage="1" prompt="Enter value between 0 and 20 for number of fixed staff supporting the facility i.e., even if no digitisation is occurring. Part FTE allowed." sqref="C16" xr:uid="{E324FD23-0095-467C-9B83-0F74A6132A3D}">
      <formula1>0</formula1>
      <formula2>20</formula2>
    </dataValidation>
    <dataValidation type="decimal" allowBlank="1" showInputMessage="1" showErrorMessage="1" prompt="Enter depreciation period in years (straight line depreciation will be used)" sqref="C14" xr:uid="{EBF4B03F-EB78-4318-B15C-6983E406229F}">
      <formula1>1</formula1>
      <formula2>7</formula2>
    </dataValidation>
    <dataValidation allowBlank="1" showInputMessage="1" showErrorMessage="1" prompt="Enter room area of your digitisation facility" sqref="C15" xr:uid="{8B8AB4E3-6680-4CAC-8361-BFD51CFDC77C}"/>
    <dataValidation allowBlank="1" showInputMessage="1" showErrorMessage="1" prompt="Enter monthly average gross salary for number of staff selected above" sqref="C34" xr:uid="{E3B0449B-1280-413C-90EE-0F0FC816DBB8}"/>
    <dataValidation allowBlank="1" showInputMessage="1" showErrorMessage="1" prompt="Number of hours in working week (change if necessary)" sqref="C35" xr:uid="{B82BFDAC-7FB6-481D-A5B2-514465CBF211}"/>
    <dataValidation allowBlank="1" showInputMessage="1" showErrorMessage="1" prompt="Only enter a value here if you do not know the split across the above 5 task clusters" sqref="F34" xr:uid="{CA1A8C4E-D081-4D5C-B82A-F543D7B51BE8}"/>
    <dataValidation allowBlank="1" showInputMessage="1" showErrorMessage="1" prompt="Enter in minutes. Add up for all persons involved. See Instructions sheet for explanation of the tasks_x000a_" sqref="F27:F31" xr:uid="{6383E6C7-3534-4F41-AE8C-A5186C931BAA}"/>
    <dataValidation allowBlank="1" showInputMessage="1" showErrorMessage="1" prompt="This cell not currently used" sqref="C17" xr:uid="{2D821C38-548A-4474-BCCD-1D6D35249F88}"/>
    <dataValidation type="list" allowBlank="1" showInputMessage="1" showErrorMessage="1" prompt="Choose type of workflow" sqref="B28" xr:uid="{76D6A858-C9B6-4CEE-9D51-0C954272271E}">
      <formula1>$J$520:$J$523</formula1>
    </dataValidation>
    <dataValidation type="list" allowBlank="1" showInputMessage="1" showErrorMessage="1" prompt="Choose type of process" sqref="B29" xr:uid="{956E05FF-5097-4A57-91AB-32841966E133}">
      <formula1>$M$520:$M$523</formula1>
    </dataValidation>
    <dataValidation type="list" allowBlank="1" showInputMessage="1" showErrorMessage="1" prompt="Select number of staff needed for digitisation (additional to number of fixed staff, above)" sqref="C33" xr:uid="{A3FB8788-C651-45C7-A412-799E456AA406}">
      <formula1>$P$520:$P$532</formula1>
    </dataValidation>
    <dataValidation type="list" allowBlank="1" showInputMessage="1" showErrorMessage="1" prompt="Choose unit of digitisation" sqref="B30" xr:uid="{174C94A9-39B1-4204-8849-3445E0B503E2}">
      <formula1>$E$520:$E$524</formula1>
    </dataValidation>
    <dataValidation type="list" errorStyle="information" allowBlank="1" showInputMessage="1" prompt="Choose typical batch size (or enter own value)" sqref="C31" xr:uid="{AF697510-5CB2-4436-B00F-DC02351C2722}">
      <formula1>$H$520:$H$530</formula1>
    </dataValidation>
    <dataValidation type="list" allowBlank="1" showInputMessage="1" showErrorMessage="1" prompt="Choose specimen category" sqref="B27" xr:uid="{8563B3EA-94BA-4FE2-9E0E-030A58806333}">
      <formula1>$B$520:$B$530</formula1>
    </dataValidation>
    <dataValidation type="list" allowBlank="1" showInputMessage="1" prompt="Select your institution from the drop-down list, or enter if not listed" sqref="B2:B3" xr:uid="{CD19397B-D414-4842-B4D3-DFAFA71279AB}">
      <formula1>$U$520:$U$527</formula1>
    </dataValidation>
    <dataValidation type="list" allowBlank="1" showInputMessage="1" showErrorMessage="1" prompt="Choose currency to use from dropdown list_x000a_" sqref="H2:H3" xr:uid="{ED7CF47D-8A09-4437-9B87-8EEC996C82F7}">
      <formula1>$B$541:$B$544</formula1>
    </dataValidation>
    <dataValidation allowBlank="1" showInputMessage="1" showErrorMessage="1" prompt="If applicable, include costs of any upgrade(s) divided over the lifetimeof the digitisation facility e.g., if upgrade cost is €10,000 and lifetime is 5 years, enter €2,000." sqref="C18" xr:uid="{4AC605A6-7D3C-4249-AF54-DEE301F43514}"/>
    <dataValidation allowBlank="1" showErrorMessage="1" sqref="B19" xr:uid="{D1DEC401-4DD0-4D32-8182-78DBF3C6FB3F}"/>
    <dataValidation allowBlank="1" showInputMessage="1" showErrorMessage="1" prompt="Capital equipment costs include digitisation equipment, furniture, computers, etc." sqref="C6" xr:uid="{D55FB6EF-E5BE-42BE-AB2C-3C5656893B80}"/>
    <dataValidation allowBlank="1" showInputMessage="1" showErrorMessage="1" prompt="Other costs are costs of procurement, making a room ready e.g., decorating, wiring, etc._x000a_" sqref="F6" xr:uid="{68C86F56-3E15-4CE6-8969-B0EF4FB378E2}"/>
    <dataValidation allowBlank="1" showInputMessage="1" showErrorMessage="1" prompt="Include any equipment (capital) upgrade costs during lifetime of facility (but not annual maintenance contracts, licenses, etc.)" sqref="C7" xr:uid="{D2C67AC5-2C52-4E71-AC1C-845FCB6687F7}"/>
  </dataValidations>
  <hyperlinks>
    <hyperlink ref="B553" r:id="rId1" xr:uid="{45E09CE5-BB21-49BA-BD8E-2ADC63CD32BB}"/>
  </hyperlinks>
  <pageMargins left="0.7" right="0.7" top="0.75" bottom="0.75" header="0.3" footer="0.3"/>
  <pageSetup paperSize="9" orientation="portrait" horizontalDpi="4294967293"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F0A65-A41C-4CBF-96A3-DA6402C1C6FC}">
  <dimension ref="A2:AV597"/>
  <sheetViews>
    <sheetView topLeftCell="A25" workbookViewId="0">
      <selection activeCell="B42" sqref="B42:G42"/>
    </sheetView>
  </sheetViews>
  <sheetFormatPr defaultColWidth="8.7109375" defaultRowHeight="15" x14ac:dyDescent="0.25"/>
  <cols>
    <col min="1" max="1" width="1.5703125" style="14" customWidth="1"/>
    <col min="2" max="2" width="55.5703125" style="14" bestFit="1" customWidth="1"/>
    <col min="3" max="3" width="10.28515625" style="14" bestFit="1" customWidth="1"/>
    <col min="4" max="4" width="8.7109375" style="14"/>
    <col min="5" max="5" width="29.85546875" style="32" customWidth="1"/>
    <col min="6" max="6" width="10.28515625" style="14" bestFit="1" customWidth="1"/>
    <col min="7" max="7" width="8.7109375" style="14"/>
    <col min="8" max="8" width="24.85546875" style="14" bestFit="1" customWidth="1"/>
    <col min="9" max="9" width="11.42578125" style="14" bestFit="1" customWidth="1"/>
    <col min="10" max="10" width="1.140625" style="14" customWidth="1"/>
    <col min="11" max="16384" width="8.7109375" style="14"/>
  </cols>
  <sheetData>
    <row r="2" spans="1:14" ht="42.6" customHeight="1" x14ac:dyDescent="0.25">
      <c r="B2" s="1" t="s">
        <v>146</v>
      </c>
      <c r="C2" s="57" t="str">
        <f>_xlfn.SWITCH($B$2, "APM","Belgium","LUOMUS","Finland","MNHN","France","Naturalis","Netherlands","NHMUK","UK","RBGK","UK","UTARTU","Estonia","- -")</f>
        <v>- -</v>
      </c>
      <c r="D2" s="85" t="s">
        <v>147</v>
      </c>
      <c r="E2" s="86"/>
      <c r="F2" s="87"/>
      <c r="H2" s="80" t="s">
        <v>76</v>
      </c>
    </row>
    <row r="3" spans="1:14" ht="42.6" customHeight="1" x14ac:dyDescent="0.25">
      <c r="C3" s="57"/>
      <c r="D3" s="88"/>
      <c r="E3" s="89"/>
      <c r="F3" s="90"/>
    </row>
    <row r="5" spans="1:14" x14ac:dyDescent="0.25">
      <c r="A5" s="9"/>
      <c r="B5" s="15" t="s">
        <v>30</v>
      </c>
      <c r="C5" s="16"/>
      <c r="D5" s="16"/>
      <c r="E5" s="17"/>
      <c r="F5" s="16"/>
      <c r="G5" s="16"/>
      <c r="H5" s="16"/>
      <c r="I5" s="18"/>
    </row>
    <row r="6" spans="1:14" ht="14.45" customHeight="1" x14ac:dyDescent="0.25">
      <c r="A6" s="48"/>
      <c r="B6" s="36" t="s">
        <v>22</v>
      </c>
      <c r="C6" s="2">
        <v>2000</v>
      </c>
      <c r="D6" s="20"/>
      <c r="E6" s="49" t="s">
        <v>54</v>
      </c>
      <c r="F6" s="2"/>
      <c r="G6" s="20"/>
      <c r="H6" s="20"/>
      <c r="I6" s="22"/>
    </row>
    <row r="7" spans="1:14" ht="14.45" customHeight="1" x14ac:dyDescent="0.25">
      <c r="A7" s="9"/>
      <c r="B7" s="36" t="s">
        <v>140</v>
      </c>
      <c r="C7" s="2"/>
      <c r="D7" s="20"/>
      <c r="E7" s="20"/>
      <c r="F7" s="20"/>
      <c r="G7" s="20"/>
      <c r="H7" s="20"/>
      <c r="I7" s="22"/>
    </row>
    <row r="8" spans="1:14" ht="14.45" customHeight="1" x14ac:dyDescent="0.25">
      <c r="A8" s="9"/>
      <c r="B8" s="53" t="s">
        <v>144</v>
      </c>
      <c r="C8" s="20"/>
      <c r="D8" s="20"/>
      <c r="E8" s="20"/>
      <c r="F8" s="20"/>
      <c r="G8" s="20"/>
      <c r="H8" s="20"/>
      <c r="I8" s="22"/>
    </row>
    <row r="9" spans="1:14" ht="45" customHeight="1" x14ac:dyDescent="0.25">
      <c r="A9" s="9"/>
      <c r="B9" s="83" t="s">
        <v>153</v>
      </c>
      <c r="C9" s="84"/>
      <c r="D9" s="84"/>
      <c r="E9" s="84"/>
      <c r="F9" s="84"/>
      <c r="G9" s="84"/>
      <c r="H9" s="29"/>
      <c r="I9" s="35"/>
      <c r="K9" s="70" t="s">
        <v>76</v>
      </c>
      <c r="L9" s="71" t="s">
        <v>91</v>
      </c>
      <c r="M9" s="65"/>
      <c r="N9" s="65"/>
    </row>
    <row r="10" spans="1:14" ht="14.45" customHeight="1" x14ac:dyDescent="0.25">
      <c r="A10" s="9"/>
      <c r="B10" s="10"/>
      <c r="C10" s="11"/>
      <c r="D10" s="11"/>
      <c r="E10" s="11"/>
      <c r="F10" s="11"/>
      <c r="G10" s="12"/>
      <c r="H10" s="46" t="s">
        <v>29</v>
      </c>
      <c r="I10" s="58">
        <f>C6+F6</f>
        <v>2000</v>
      </c>
      <c r="K10" s="68">
        <f>$I$10*VLOOKUP($H$2,$B$547:$C$549,2,)</f>
        <v>2000</v>
      </c>
      <c r="L10" s="68">
        <f>$I$10*VLOOKUP($H$2,$B$547:$C$549,2,)*100/VLOOKUP($C$2,$B$555:$C$597,2,)</f>
        <v>2000</v>
      </c>
    </row>
    <row r="11" spans="1:14" ht="14.45" customHeight="1" x14ac:dyDescent="0.25">
      <c r="A11" s="9"/>
      <c r="B11" s="9"/>
      <c r="C11" s="9"/>
      <c r="D11" s="9"/>
      <c r="E11" s="9"/>
      <c r="F11" s="9"/>
      <c r="G11" s="9"/>
      <c r="H11" s="47"/>
    </row>
    <row r="12" spans="1:14" ht="14.45" customHeight="1" x14ac:dyDescent="0.25">
      <c r="B12" s="15" t="s">
        <v>27</v>
      </c>
      <c r="C12" s="16"/>
      <c r="D12" s="16"/>
      <c r="E12" s="16"/>
      <c r="F12" s="16"/>
      <c r="G12" s="16"/>
      <c r="H12" s="16"/>
      <c r="I12" s="18"/>
    </row>
    <row r="13" spans="1:14" ht="14.45" customHeight="1" x14ac:dyDescent="0.25">
      <c r="B13" s="19"/>
      <c r="C13" s="20"/>
      <c r="D13" s="20"/>
      <c r="E13" s="20"/>
      <c r="F13" s="20"/>
      <c r="G13" s="20"/>
      <c r="H13" s="29" t="s">
        <v>26</v>
      </c>
      <c r="I13" s="22"/>
    </row>
    <row r="14" spans="1:14" x14ac:dyDescent="0.25">
      <c r="A14" s="44"/>
      <c r="B14" s="36" t="s">
        <v>133</v>
      </c>
      <c r="C14" s="2">
        <v>3</v>
      </c>
      <c r="D14" s="20"/>
      <c r="E14" s="21"/>
      <c r="F14" s="20"/>
      <c r="G14" s="20"/>
      <c r="H14" s="20" t="s">
        <v>25</v>
      </c>
      <c r="I14" s="24">
        <f>(C6+C7)/C14</f>
        <v>666.66666666666663</v>
      </c>
    </row>
    <row r="15" spans="1:14" ht="17.25" x14ac:dyDescent="0.25">
      <c r="B15" s="36" t="s">
        <v>20</v>
      </c>
      <c r="C15" s="3">
        <v>12</v>
      </c>
      <c r="D15" s="20"/>
      <c r="E15" s="21" t="s">
        <v>21</v>
      </c>
      <c r="F15" s="59">
        <v>0</v>
      </c>
      <c r="G15" s="20"/>
      <c r="H15" s="20" t="s">
        <v>60</v>
      </c>
      <c r="I15" s="24">
        <f>C15*F15*12</f>
        <v>0</v>
      </c>
    </row>
    <row r="16" spans="1:14" x14ac:dyDescent="0.25">
      <c r="B16" s="36" t="s">
        <v>142</v>
      </c>
      <c r="C16" s="4">
        <v>0</v>
      </c>
      <c r="D16" s="20"/>
      <c r="E16" s="21" t="s">
        <v>141</v>
      </c>
      <c r="F16" s="2">
        <v>4635</v>
      </c>
      <c r="G16" s="20"/>
      <c r="H16" s="20" t="s">
        <v>61</v>
      </c>
      <c r="I16" s="24">
        <f>C16*F16*12</f>
        <v>0</v>
      </c>
    </row>
    <row r="17" spans="1:48" x14ac:dyDescent="0.25">
      <c r="B17" s="36"/>
      <c r="C17" s="76"/>
      <c r="D17" s="20"/>
      <c r="E17" s="21" t="s">
        <v>51</v>
      </c>
      <c r="F17" s="2">
        <v>1158</v>
      </c>
      <c r="G17" s="20"/>
      <c r="H17" s="20" t="s">
        <v>62</v>
      </c>
      <c r="I17" s="24">
        <f>F17*12</f>
        <v>13896</v>
      </c>
    </row>
    <row r="18" spans="1:48" x14ac:dyDescent="0.25">
      <c r="B18" s="36"/>
      <c r="C18" s="77"/>
      <c r="D18" s="20"/>
      <c r="E18" s="21" t="s">
        <v>53</v>
      </c>
      <c r="F18" s="2">
        <v>65</v>
      </c>
      <c r="G18" s="20"/>
      <c r="H18" s="20" t="s">
        <v>52</v>
      </c>
      <c r="I18" s="24">
        <f>F18*12</f>
        <v>780</v>
      </c>
    </row>
    <row r="19" spans="1:48" x14ac:dyDescent="0.25">
      <c r="B19" s="75"/>
      <c r="C19" s="73"/>
      <c r="D19" s="42"/>
      <c r="E19" s="91" t="s">
        <v>138</v>
      </c>
      <c r="F19" s="91"/>
      <c r="G19" s="20"/>
      <c r="H19" s="20"/>
      <c r="I19" s="22"/>
    </row>
    <row r="20" spans="1:48" x14ac:dyDescent="0.25">
      <c r="B20" s="74"/>
      <c r="C20" s="20"/>
      <c r="D20" s="20"/>
      <c r="E20" s="91" t="s">
        <v>139</v>
      </c>
      <c r="F20" s="91"/>
      <c r="G20" s="20"/>
      <c r="H20" s="26"/>
      <c r="I20" s="22"/>
      <c r="AV20" s="33"/>
    </row>
    <row r="21" spans="1:48" x14ac:dyDescent="0.25">
      <c r="B21" s="53" t="s">
        <v>143</v>
      </c>
      <c r="C21" s="20"/>
      <c r="D21" s="20"/>
      <c r="E21" s="21"/>
      <c r="F21" s="20"/>
      <c r="G21" s="20"/>
      <c r="H21" s="26"/>
      <c r="I21" s="22"/>
      <c r="AV21" s="33"/>
    </row>
    <row r="22" spans="1:48" ht="45" customHeight="1" x14ac:dyDescent="0.25">
      <c r="A22" s="9"/>
      <c r="B22" s="83" t="s">
        <v>154</v>
      </c>
      <c r="C22" s="84"/>
      <c r="D22" s="84"/>
      <c r="E22" s="84"/>
      <c r="F22" s="84"/>
      <c r="G22" s="84"/>
      <c r="H22" s="29"/>
      <c r="I22" s="35"/>
      <c r="K22" s="70" t="s">
        <v>76</v>
      </c>
      <c r="L22" s="71" t="s">
        <v>91</v>
      </c>
    </row>
    <row r="23" spans="1:48" ht="14.45" customHeight="1" x14ac:dyDescent="0.25">
      <c r="A23" s="9"/>
      <c r="B23" s="10"/>
      <c r="C23" s="11"/>
      <c r="D23" s="11"/>
      <c r="E23" s="11"/>
      <c r="F23" s="11"/>
      <c r="G23" s="12"/>
      <c r="H23" s="43" t="s">
        <v>24</v>
      </c>
      <c r="I23" s="58">
        <f>SUM(I14, I15, I16, I17, I18)</f>
        <v>15342.666666666666</v>
      </c>
      <c r="K23" s="68">
        <f>$I$23*VLOOKUP($H$2,$B$547:$C$549,2,)</f>
        <v>15342.666666666666</v>
      </c>
      <c r="L23" s="68">
        <f>$I$23*VLOOKUP($H$2,$B$547:$C$549,2,)*100/VLOOKUP($C$2,$B$555:$C$597,2,)</f>
        <v>15342.666666666664</v>
      </c>
    </row>
    <row r="24" spans="1:48" x14ac:dyDescent="0.25">
      <c r="H24" s="44"/>
      <c r="AV24" s="33"/>
    </row>
    <row r="25" spans="1:48" ht="15.95" customHeight="1" x14ac:dyDescent="0.25">
      <c r="B25" s="15" t="s">
        <v>28</v>
      </c>
      <c r="C25" s="16"/>
      <c r="D25" s="16"/>
      <c r="E25" s="17"/>
      <c r="F25" s="81" t="s">
        <v>131</v>
      </c>
      <c r="G25" s="81" t="s">
        <v>40</v>
      </c>
      <c r="H25" s="16"/>
      <c r="I25" s="18"/>
      <c r="AQ25" s="33"/>
      <c r="AR25" s="33"/>
      <c r="AS25" s="33"/>
      <c r="AT25" s="33"/>
      <c r="AU25" s="33"/>
      <c r="AV25" s="33"/>
    </row>
    <row r="26" spans="1:48" ht="15.95" customHeight="1" x14ac:dyDescent="0.25">
      <c r="B26" s="19" t="s">
        <v>37</v>
      </c>
      <c r="C26" s="20"/>
      <c r="D26" s="29" t="s">
        <v>14</v>
      </c>
      <c r="E26" s="21"/>
      <c r="F26" s="82"/>
      <c r="G26" s="82"/>
      <c r="H26" s="45" t="s">
        <v>32</v>
      </c>
      <c r="I26" s="22"/>
      <c r="AU26" s="33"/>
      <c r="AV26" s="33"/>
    </row>
    <row r="27" spans="1:48" x14ac:dyDescent="0.25">
      <c r="B27" s="5" t="s">
        <v>0</v>
      </c>
      <c r="C27" s="42"/>
      <c r="D27" s="42" t="s">
        <v>44</v>
      </c>
      <c r="E27" s="21"/>
      <c r="F27" s="54"/>
      <c r="G27" s="41">
        <f>F27*C31/60</f>
        <v>0</v>
      </c>
      <c r="H27" s="39"/>
      <c r="I27" s="24">
        <f>G27*C36*C32*12</f>
        <v>0</v>
      </c>
      <c r="AV27" s="33"/>
    </row>
    <row r="28" spans="1:48" ht="15" customHeight="1" x14ac:dyDescent="0.25">
      <c r="B28" s="5" t="s">
        <v>42</v>
      </c>
      <c r="C28" s="42"/>
      <c r="D28" s="42" t="s">
        <v>73</v>
      </c>
      <c r="E28" s="21"/>
      <c r="F28" s="54"/>
      <c r="G28" s="41">
        <f>F28*C31/60</f>
        <v>0</v>
      </c>
      <c r="H28" s="39"/>
      <c r="I28" s="24">
        <f>G28*C36*C32*12</f>
        <v>0</v>
      </c>
    </row>
    <row r="29" spans="1:48" x14ac:dyDescent="0.25">
      <c r="B29" s="5" t="s">
        <v>1</v>
      </c>
      <c r="C29" s="20"/>
      <c r="D29" s="42" t="s">
        <v>45</v>
      </c>
      <c r="E29" s="21"/>
      <c r="F29" s="54"/>
      <c r="G29" s="41">
        <f>F29*C31/60</f>
        <v>0</v>
      </c>
      <c r="H29" s="39"/>
      <c r="I29" s="24">
        <f>G29*C36*C32*12</f>
        <v>0</v>
      </c>
    </row>
    <row r="30" spans="1:48" x14ac:dyDescent="0.25">
      <c r="B30" s="5" t="s">
        <v>15</v>
      </c>
      <c r="C30" s="21"/>
      <c r="D30" s="42" t="s">
        <v>74</v>
      </c>
      <c r="E30" s="21"/>
      <c r="F30" s="54"/>
      <c r="G30" s="41">
        <f>F30*C31/60</f>
        <v>0</v>
      </c>
      <c r="H30" s="39"/>
      <c r="I30" s="24">
        <f>G30*C36*C32*12</f>
        <v>0</v>
      </c>
    </row>
    <row r="31" spans="1:48" x14ac:dyDescent="0.25">
      <c r="B31" s="23" t="s">
        <v>136</v>
      </c>
      <c r="C31" s="7">
        <v>1</v>
      </c>
      <c r="D31" s="42" t="s">
        <v>46</v>
      </c>
      <c r="E31" s="21"/>
      <c r="F31" s="54"/>
      <c r="G31" s="41">
        <f>F31*C31/60</f>
        <v>0</v>
      </c>
      <c r="H31" s="39"/>
      <c r="I31" s="24">
        <f>G31*C36*C32*12</f>
        <v>0</v>
      </c>
    </row>
    <row r="32" spans="1:48" x14ac:dyDescent="0.25">
      <c r="B32" s="23" t="s">
        <v>48</v>
      </c>
      <c r="C32" s="6">
        <v>40</v>
      </c>
      <c r="D32" s="42"/>
      <c r="E32" s="21"/>
      <c r="F32" s="20"/>
      <c r="G32" s="20"/>
      <c r="H32" s="39"/>
      <c r="I32" s="22"/>
    </row>
    <row r="33" spans="1:12" x14ac:dyDescent="0.25">
      <c r="B33" s="23" t="s">
        <v>58</v>
      </c>
      <c r="C33" s="7">
        <v>1</v>
      </c>
      <c r="D33" s="20"/>
      <c r="E33" s="42" t="s">
        <v>47</v>
      </c>
      <c r="F33" s="20"/>
      <c r="G33" s="20"/>
      <c r="H33" s="20"/>
      <c r="I33" s="22"/>
    </row>
    <row r="34" spans="1:12" x14ac:dyDescent="0.25">
      <c r="B34" s="23" t="s">
        <v>23</v>
      </c>
      <c r="C34" s="60">
        <v>4635</v>
      </c>
      <c r="D34" s="21"/>
      <c r="E34" s="21" t="s">
        <v>57</v>
      </c>
      <c r="F34" s="8">
        <v>228</v>
      </c>
      <c r="G34" s="20"/>
      <c r="H34" s="20"/>
      <c r="I34" s="22"/>
    </row>
    <row r="35" spans="1:12" x14ac:dyDescent="0.25">
      <c r="B35" s="23" t="s">
        <v>39</v>
      </c>
      <c r="C35" s="7">
        <v>38</v>
      </c>
      <c r="D35" s="20"/>
      <c r="E35" s="21"/>
      <c r="F35" s="20"/>
      <c r="G35" s="20"/>
      <c r="H35" s="20"/>
      <c r="I35" s="22"/>
    </row>
    <row r="36" spans="1:12" x14ac:dyDescent="0.25">
      <c r="B36" s="36" t="s">
        <v>63</v>
      </c>
      <c r="C36" s="61">
        <f>C33*C34/4.333/C35</f>
        <v>28.149938659249091</v>
      </c>
      <c r="D36" s="20"/>
      <c r="E36" s="21" t="s">
        <v>132</v>
      </c>
      <c r="F36" s="37">
        <f>IF(F34=0,SUM(F27:F31),F34)</f>
        <v>228</v>
      </c>
      <c r="G36" s="38">
        <f>IF(F34=0,F36*C31/60,F34*C31/60)</f>
        <v>3.8</v>
      </c>
      <c r="H36" s="20"/>
      <c r="I36" s="22"/>
    </row>
    <row r="37" spans="1:12" x14ac:dyDescent="0.25">
      <c r="B37" s="36"/>
      <c r="C37" s="39"/>
      <c r="D37" s="20"/>
      <c r="E37" s="40"/>
      <c r="F37" s="26"/>
      <c r="G37" s="26"/>
      <c r="H37" s="20"/>
      <c r="I37" s="22"/>
    </row>
    <row r="38" spans="1:12" x14ac:dyDescent="0.25">
      <c r="B38" s="23" t="s">
        <v>134</v>
      </c>
      <c r="C38" s="39"/>
      <c r="D38" s="20"/>
      <c r="E38" s="40"/>
      <c r="F38" s="26"/>
      <c r="G38" s="26"/>
      <c r="H38" s="20"/>
      <c r="I38" s="22"/>
    </row>
    <row r="39" spans="1:12" x14ac:dyDescent="0.25">
      <c r="B39" s="23" t="s">
        <v>135</v>
      </c>
      <c r="C39" s="62"/>
      <c r="D39" s="20"/>
      <c r="E39" s="21"/>
      <c r="F39" s="20"/>
      <c r="G39" s="41"/>
      <c r="H39" s="20" t="s">
        <v>56</v>
      </c>
      <c r="I39" s="24">
        <f>C39*C32*12</f>
        <v>0</v>
      </c>
    </row>
    <row r="40" spans="1:12" ht="14.45" customHeight="1" x14ac:dyDescent="0.25">
      <c r="B40" s="23"/>
      <c r="C40" s="39"/>
      <c r="D40" s="20"/>
      <c r="E40" s="21"/>
      <c r="F40" s="20"/>
      <c r="G40" s="41"/>
      <c r="H40" s="20"/>
      <c r="I40" s="35"/>
    </row>
    <row r="41" spans="1:12" ht="14.45" customHeight="1" x14ac:dyDescent="0.25">
      <c r="B41" s="50" t="s">
        <v>72</v>
      </c>
      <c r="C41" s="51"/>
      <c r="D41" s="51"/>
      <c r="E41" s="51"/>
      <c r="F41" s="51"/>
      <c r="G41" s="52"/>
      <c r="H41" s="20"/>
      <c r="I41" s="35"/>
    </row>
    <row r="42" spans="1:12" ht="45" customHeight="1" x14ac:dyDescent="0.25">
      <c r="A42" s="9"/>
      <c r="B42" s="83" t="s">
        <v>160</v>
      </c>
      <c r="C42" s="84"/>
      <c r="D42" s="84"/>
      <c r="E42" s="84"/>
      <c r="F42" s="84"/>
      <c r="G42" s="84"/>
      <c r="H42" s="29"/>
      <c r="I42" s="35"/>
      <c r="K42" s="70" t="s">
        <v>76</v>
      </c>
      <c r="L42" s="71" t="s">
        <v>91</v>
      </c>
    </row>
    <row r="43" spans="1:12" x14ac:dyDescent="0.25">
      <c r="A43" s="9"/>
      <c r="B43" s="10"/>
      <c r="C43" s="11"/>
      <c r="D43" s="11"/>
      <c r="E43" s="11"/>
      <c r="F43" s="11"/>
      <c r="G43" s="12"/>
      <c r="H43" s="13" t="s">
        <v>55</v>
      </c>
      <c r="I43" s="58">
        <f>IF(F34=0, SUM(I27:I31, I39), (G36*C36*C32*12)+I39)</f>
        <v>51345.488114470339</v>
      </c>
      <c r="K43" s="68">
        <f>$I$43*VLOOKUP($H$2,$B$547:$C$549,2,)</f>
        <v>51345.488114470339</v>
      </c>
      <c r="L43" s="68">
        <f>$I$43*VLOOKUP($H$2,$B$547:$C$549,2,)*100/VLOOKUP($C$2,$B$555:$C$597,2,)</f>
        <v>51345.488114470339</v>
      </c>
    </row>
    <row r="49" spans="2:12" x14ac:dyDescent="0.25">
      <c r="B49" s="15" t="s">
        <v>66</v>
      </c>
      <c r="C49" s="16"/>
      <c r="D49" s="16"/>
      <c r="E49" s="17"/>
      <c r="F49" s="16"/>
      <c r="G49" s="16"/>
      <c r="H49" s="16"/>
      <c r="I49" s="18"/>
    </row>
    <row r="50" spans="2:12" x14ac:dyDescent="0.25">
      <c r="B50" s="19"/>
      <c r="C50" s="20"/>
      <c r="D50" s="20"/>
      <c r="E50" s="21"/>
      <c r="F50" s="20"/>
      <c r="G50" s="20"/>
      <c r="H50" s="20"/>
      <c r="I50" s="22"/>
    </row>
    <row r="51" spans="2:12" x14ac:dyDescent="0.25">
      <c r="B51" s="19" t="s">
        <v>64</v>
      </c>
      <c r="C51" s="24">
        <f>C36+(C16*F16*12/52/C35)</f>
        <v>28.149938659249091</v>
      </c>
      <c r="D51" s="20"/>
      <c r="E51" s="21"/>
      <c r="F51" s="20"/>
      <c r="G51" s="20"/>
      <c r="H51" s="20"/>
      <c r="I51" s="22"/>
    </row>
    <row r="52" spans="2:12" x14ac:dyDescent="0.25">
      <c r="B52" s="19" t="s">
        <v>65</v>
      </c>
      <c r="C52" s="24">
        <f>I23</f>
        <v>15342.666666666666</v>
      </c>
      <c r="D52" s="20"/>
      <c r="E52" s="21"/>
      <c r="F52" s="20"/>
      <c r="G52" s="20"/>
      <c r="H52" s="20"/>
      <c r="I52" s="22"/>
    </row>
    <row r="53" spans="2:12" x14ac:dyDescent="0.25">
      <c r="B53" s="23" t="s">
        <v>67</v>
      </c>
      <c r="C53" s="24">
        <f>G36*C36+C39</f>
        <v>106.96976690514654</v>
      </c>
      <c r="D53" s="20"/>
      <c r="E53" s="20"/>
      <c r="F53" s="20"/>
      <c r="G53" s="20"/>
      <c r="H53" s="20"/>
      <c r="I53" s="22"/>
    </row>
    <row r="54" spans="2:12" x14ac:dyDescent="0.25">
      <c r="B54" s="19"/>
      <c r="C54" s="20"/>
      <c r="D54" s="20"/>
      <c r="E54" s="21"/>
      <c r="F54" s="20"/>
      <c r="G54" s="20"/>
      <c r="H54" s="20"/>
      <c r="I54" s="22"/>
    </row>
    <row r="55" spans="2:12" x14ac:dyDescent="0.25">
      <c r="B55" s="19" t="s">
        <v>68</v>
      </c>
      <c r="C55" s="24">
        <f>C32*12</f>
        <v>480</v>
      </c>
      <c r="D55" s="20"/>
      <c r="E55" s="21"/>
      <c r="F55" s="20"/>
      <c r="G55" s="20"/>
      <c r="H55" s="20"/>
      <c r="I55" s="22"/>
    </row>
    <row r="56" spans="2:12" x14ac:dyDescent="0.25">
      <c r="B56" s="19" t="s">
        <v>69</v>
      </c>
      <c r="C56" s="24">
        <f>C55*C31</f>
        <v>480</v>
      </c>
      <c r="D56" s="20"/>
      <c r="E56" s="21"/>
      <c r="F56" s="20"/>
      <c r="G56" s="20"/>
      <c r="H56" s="20"/>
      <c r="I56" s="22"/>
    </row>
    <row r="57" spans="2:12" x14ac:dyDescent="0.25">
      <c r="B57" s="19"/>
      <c r="C57" s="25"/>
      <c r="D57" s="20"/>
      <c r="E57" s="21"/>
      <c r="F57" s="20"/>
      <c r="G57" s="20"/>
      <c r="H57" s="20"/>
      <c r="I57" s="22"/>
      <c r="K57" s="70" t="s">
        <v>76</v>
      </c>
      <c r="L57" s="71" t="s">
        <v>91</v>
      </c>
    </row>
    <row r="58" spans="2:12" x14ac:dyDescent="0.25">
      <c r="B58" s="19"/>
      <c r="C58" s="20"/>
      <c r="D58" s="20"/>
      <c r="E58" s="21"/>
      <c r="F58" s="20"/>
      <c r="G58" s="20"/>
      <c r="H58" s="26"/>
      <c r="I58" s="27"/>
    </row>
    <row r="59" spans="2:12" x14ac:dyDescent="0.25">
      <c r="B59" s="28" t="s">
        <v>71</v>
      </c>
      <c r="C59" s="58">
        <f>C53+(C52/C55)</f>
        <v>138.93365579403542</v>
      </c>
      <c r="D59" s="20"/>
      <c r="E59" s="21"/>
      <c r="F59" s="20"/>
      <c r="G59" s="20"/>
      <c r="H59" s="29" t="s">
        <v>59</v>
      </c>
      <c r="I59" s="58">
        <f>C53*C55+C52</f>
        <v>66688.154781137011</v>
      </c>
      <c r="K59" s="68">
        <f>$I$59*VLOOKUP($H$2,$B$547:$C$549,2,)</f>
        <v>66688.154781137011</v>
      </c>
      <c r="L59" s="68">
        <f>$I$59*VLOOKUP($H$2,$B$547:$C$549,2,)*100/VLOOKUP($C$2,$B$555:$C$597,2,)</f>
        <v>66688.154781137011</v>
      </c>
    </row>
    <row r="60" spans="2:12" x14ac:dyDescent="0.25">
      <c r="B60" s="30" t="s">
        <v>70</v>
      </c>
      <c r="C60" s="58">
        <f>C59/C31</f>
        <v>138.93365579403542</v>
      </c>
      <c r="D60" s="12"/>
      <c r="E60" s="31"/>
      <c r="F60" s="12"/>
      <c r="G60" s="12"/>
      <c r="H60" s="12"/>
      <c r="I60" s="27"/>
    </row>
    <row r="62" spans="2:12" x14ac:dyDescent="0.25">
      <c r="C62" s="66" t="s">
        <v>76</v>
      </c>
      <c r="D62" s="67" t="s">
        <v>91</v>
      </c>
    </row>
    <row r="63" spans="2:12" x14ac:dyDescent="0.25">
      <c r="B63" s="44" t="s">
        <v>71</v>
      </c>
      <c r="C63" s="68">
        <f>$C$59*VLOOKUP($H$2,$B$547:$C$549,2,)</f>
        <v>138.93365579403542</v>
      </c>
      <c r="D63" s="68">
        <f>$C$59*VLOOKUP($H$2,$B$547:$C$549,2,)*100/VLOOKUP($C$2,$B$555:$C$597,2,)</f>
        <v>138.93365579403542</v>
      </c>
    </row>
    <row r="64" spans="2:12" x14ac:dyDescent="0.25">
      <c r="B64" s="44" t="s">
        <v>70</v>
      </c>
      <c r="C64" s="69">
        <f>$C$60*VLOOKUP($H$2,$B$547:$C$549,2,)</f>
        <v>138.93365579403542</v>
      </c>
      <c r="D64" s="69">
        <f>$C$60*VLOOKUP($H$2,$B$547:$C$549,2,)*100/VLOOKUP($C$2,$B$555:$C$597,2,)</f>
        <v>138.93365579403542</v>
      </c>
    </row>
    <row r="517" spans="2:21" x14ac:dyDescent="0.25">
      <c r="B517" s="14" t="s">
        <v>50</v>
      </c>
    </row>
    <row r="520" spans="2:21" x14ac:dyDescent="0.25">
      <c r="B520" s="14" t="s">
        <v>31</v>
      </c>
      <c r="E520" s="33" t="s">
        <v>33</v>
      </c>
      <c r="H520" s="33" t="s">
        <v>34</v>
      </c>
      <c r="J520" s="33" t="s">
        <v>35</v>
      </c>
      <c r="M520" s="33" t="s">
        <v>36</v>
      </c>
      <c r="P520" s="14" t="s">
        <v>38</v>
      </c>
      <c r="Q520" s="33"/>
      <c r="U520" s="14" t="s">
        <v>49</v>
      </c>
    </row>
    <row r="521" spans="2:21" x14ac:dyDescent="0.25">
      <c r="B521" s="34" t="s">
        <v>137</v>
      </c>
      <c r="E521" s="33" t="s">
        <v>15</v>
      </c>
      <c r="H521" s="33">
        <v>1</v>
      </c>
      <c r="J521" s="33" t="s">
        <v>41</v>
      </c>
      <c r="M521" s="33" t="s">
        <v>1</v>
      </c>
      <c r="P521" s="14">
        <v>0</v>
      </c>
      <c r="U521" s="14" t="s">
        <v>10</v>
      </c>
    </row>
    <row r="522" spans="2:21" x14ac:dyDescent="0.25">
      <c r="B522" s="34" t="s">
        <v>18</v>
      </c>
      <c r="E522" s="33" t="s">
        <v>16</v>
      </c>
      <c r="H522" s="33">
        <v>10</v>
      </c>
      <c r="J522" s="33" t="s">
        <v>42</v>
      </c>
      <c r="M522" s="33" t="s">
        <v>2</v>
      </c>
      <c r="P522" s="14">
        <v>1</v>
      </c>
      <c r="U522" s="14" t="s">
        <v>12</v>
      </c>
    </row>
    <row r="523" spans="2:21" x14ac:dyDescent="0.25">
      <c r="B523" s="34" t="s">
        <v>4</v>
      </c>
      <c r="E523" s="33" t="s">
        <v>17</v>
      </c>
      <c r="H523" s="33">
        <v>50</v>
      </c>
      <c r="J523" s="33" t="s">
        <v>43</v>
      </c>
      <c r="M523" s="33" t="s">
        <v>3</v>
      </c>
      <c r="P523" s="14">
        <v>2</v>
      </c>
      <c r="U523" s="14" t="s">
        <v>80</v>
      </c>
    </row>
    <row r="524" spans="2:21" x14ac:dyDescent="0.25">
      <c r="B524" s="34" t="s">
        <v>5</v>
      </c>
      <c r="E524" s="33" t="s">
        <v>0</v>
      </c>
      <c r="H524" s="33">
        <v>100</v>
      </c>
      <c r="P524" s="14">
        <v>3</v>
      </c>
      <c r="U524" s="14" t="s">
        <v>11</v>
      </c>
    </row>
    <row r="525" spans="2:21" x14ac:dyDescent="0.25">
      <c r="B525" s="34" t="s">
        <v>6</v>
      </c>
      <c r="E525" s="14"/>
      <c r="H525" s="33">
        <v>500</v>
      </c>
      <c r="P525" s="14">
        <v>4</v>
      </c>
      <c r="U525" s="14" t="s">
        <v>82</v>
      </c>
    </row>
    <row r="526" spans="2:21" x14ac:dyDescent="0.25">
      <c r="B526" s="34" t="s">
        <v>9</v>
      </c>
      <c r="E526" s="14"/>
      <c r="H526" s="33">
        <v>1000</v>
      </c>
      <c r="P526" s="14">
        <v>5</v>
      </c>
      <c r="U526" s="14" t="s">
        <v>81</v>
      </c>
    </row>
    <row r="527" spans="2:21" x14ac:dyDescent="0.25">
      <c r="B527" s="34" t="s">
        <v>7</v>
      </c>
      <c r="E527" s="14"/>
      <c r="H527" s="33">
        <v>5000</v>
      </c>
      <c r="P527" s="14">
        <v>6</v>
      </c>
      <c r="U527" s="14" t="s">
        <v>13</v>
      </c>
    </row>
    <row r="528" spans="2:21" x14ac:dyDescent="0.25">
      <c r="B528" s="34" t="s">
        <v>8</v>
      </c>
      <c r="E528" s="14"/>
      <c r="H528" s="33">
        <v>10000</v>
      </c>
      <c r="P528" s="14">
        <v>7</v>
      </c>
    </row>
    <row r="529" spans="2:16" x14ac:dyDescent="0.25">
      <c r="B529" s="34" t="s">
        <v>19</v>
      </c>
      <c r="E529" s="14"/>
      <c r="H529" s="33">
        <v>50000</v>
      </c>
      <c r="P529" s="14">
        <v>8</v>
      </c>
    </row>
    <row r="530" spans="2:16" x14ac:dyDescent="0.25">
      <c r="B530" s="34" t="s">
        <v>0</v>
      </c>
      <c r="E530" s="14"/>
      <c r="H530" s="33">
        <v>100000</v>
      </c>
      <c r="P530" s="14">
        <v>9</v>
      </c>
    </row>
    <row r="531" spans="2:16" x14ac:dyDescent="0.25">
      <c r="E531" s="14"/>
      <c r="H531" s="33"/>
      <c r="P531" s="14">
        <v>10</v>
      </c>
    </row>
    <row r="532" spans="2:16" x14ac:dyDescent="0.25">
      <c r="E532" s="14"/>
    </row>
    <row r="533" spans="2:16" x14ac:dyDescent="0.25">
      <c r="E533" s="14"/>
    </row>
    <row r="539" spans="2:16" x14ac:dyDescent="0.25">
      <c r="B539" s="14" t="s">
        <v>78</v>
      </c>
    </row>
    <row r="541" spans="2:16" x14ac:dyDescent="0.25">
      <c r="B541" s="14" t="s">
        <v>83</v>
      </c>
    </row>
    <row r="542" spans="2:16" x14ac:dyDescent="0.25">
      <c r="B542" s="34" t="s">
        <v>76</v>
      </c>
      <c r="E542" s="34"/>
      <c r="F542" s="34"/>
      <c r="G542" s="34"/>
      <c r="H542" s="34"/>
    </row>
    <row r="543" spans="2:16" x14ac:dyDescent="0.25">
      <c r="B543" s="34" t="s">
        <v>75</v>
      </c>
      <c r="E543" s="34"/>
      <c r="F543" s="34"/>
      <c r="G543" s="34"/>
      <c r="H543" s="34"/>
    </row>
    <row r="544" spans="2:16" x14ac:dyDescent="0.25">
      <c r="B544" s="34" t="s">
        <v>77</v>
      </c>
      <c r="C544" s="34"/>
      <c r="D544" s="34"/>
      <c r="E544" s="34"/>
      <c r="F544" s="34"/>
      <c r="G544" s="34"/>
      <c r="H544" s="34"/>
    </row>
    <row r="545" spans="2:8" x14ac:dyDescent="0.25">
      <c r="C545" s="34"/>
      <c r="D545" s="34"/>
      <c r="E545" s="34"/>
      <c r="F545" s="34"/>
      <c r="G545" s="34"/>
      <c r="H545" s="34"/>
    </row>
    <row r="546" spans="2:8" x14ac:dyDescent="0.25">
      <c r="B546" s="56" t="s">
        <v>90</v>
      </c>
      <c r="C546" s="56" t="s">
        <v>79</v>
      </c>
      <c r="D546" s="56"/>
      <c r="E546" s="34"/>
      <c r="H546" s="34"/>
    </row>
    <row r="547" spans="2:8" x14ac:dyDescent="0.25">
      <c r="B547" s="34" t="s">
        <v>76</v>
      </c>
      <c r="C547" s="78">
        <v>1</v>
      </c>
      <c r="D547" s="34"/>
      <c r="E547" s="34"/>
      <c r="F547" s="34"/>
      <c r="G547" s="34"/>
      <c r="H547" s="34"/>
    </row>
    <row r="548" spans="2:8" x14ac:dyDescent="0.25">
      <c r="B548" s="34" t="s">
        <v>75</v>
      </c>
      <c r="C548" s="78">
        <v>1.1355900000000001</v>
      </c>
      <c r="D548" s="78"/>
      <c r="E548" s="34"/>
      <c r="F548" s="34"/>
      <c r="G548" s="34"/>
      <c r="H548" s="34"/>
    </row>
    <row r="549" spans="2:8" x14ac:dyDescent="0.25">
      <c r="B549" s="34" t="s">
        <v>77</v>
      </c>
      <c r="C549" s="55">
        <v>0.89676</v>
      </c>
    </row>
    <row r="552" spans="2:8" x14ac:dyDescent="0.25">
      <c r="B552" s="56" t="s">
        <v>92</v>
      </c>
      <c r="C552" s="72"/>
    </row>
    <row r="553" spans="2:8" x14ac:dyDescent="0.25">
      <c r="B553" s="79" t="s">
        <v>145</v>
      </c>
    </row>
    <row r="555" spans="2:8" x14ac:dyDescent="0.25">
      <c r="B555" s="64" t="s">
        <v>89</v>
      </c>
      <c r="C555" s="63">
        <v>100</v>
      </c>
    </row>
    <row r="556" spans="2:8" x14ac:dyDescent="0.25">
      <c r="B556" s="14" t="s">
        <v>93</v>
      </c>
      <c r="C556" s="14">
        <v>100</v>
      </c>
    </row>
    <row r="557" spans="2:8" x14ac:dyDescent="0.25">
      <c r="B557" s="14" t="s">
        <v>84</v>
      </c>
      <c r="C557" s="14">
        <v>110.8</v>
      </c>
    </row>
    <row r="558" spans="2:8" x14ac:dyDescent="0.25">
      <c r="B558" s="14" t="s">
        <v>94</v>
      </c>
      <c r="C558" s="14">
        <v>49.6</v>
      </c>
    </row>
    <row r="559" spans="2:8" x14ac:dyDescent="0.25">
      <c r="B559" s="14" t="s">
        <v>95</v>
      </c>
      <c r="C559" s="14">
        <v>68.2</v>
      </c>
    </row>
    <row r="560" spans="2:8" x14ac:dyDescent="0.25">
      <c r="B560" s="14" t="s">
        <v>96</v>
      </c>
      <c r="C560" s="14">
        <v>138.9</v>
      </c>
    </row>
    <row r="561" spans="2:3" x14ac:dyDescent="0.25">
      <c r="B561" s="14" t="s">
        <v>97</v>
      </c>
      <c r="C561" s="14">
        <v>104</v>
      </c>
    </row>
    <row r="562" spans="2:3" x14ac:dyDescent="0.25">
      <c r="B562" s="14" t="s">
        <v>88</v>
      </c>
      <c r="C562" s="14">
        <v>78.099999999999994</v>
      </c>
    </row>
    <row r="563" spans="2:3" x14ac:dyDescent="0.25">
      <c r="B563" s="14" t="s">
        <v>98</v>
      </c>
      <c r="C563" s="14">
        <v>127.2</v>
      </c>
    </row>
    <row r="564" spans="2:3" x14ac:dyDescent="0.25">
      <c r="B564" s="14" t="s">
        <v>99</v>
      </c>
      <c r="C564" s="14">
        <v>85.4</v>
      </c>
    </row>
    <row r="565" spans="2:3" x14ac:dyDescent="0.25">
      <c r="B565" s="14" t="s">
        <v>100</v>
      </c>
      <c r="C565" s="14">
        <v>92.5</v>
      </c>
    </row>
    <row r="566" spans="2:3" x14ac:dyDescent="0.25">
      <c r="B566" s="14" t="s">
        <v>86</v>
      </c>
      <c r="C566" s="14">
        <v>109.5</v>
      </c>
    </row>
    <row r="567" spans="2:3" x14ac:dyDescent="0.25">
      <c r="B567" s="14" t="s">
        <v>101</v>
      </c>
      <c r="C567" s="14">
        <v>67.400000000000006</v>
      </c>
    </row>
    <row r="568" spans="2:3" x14ac:dyDescent="0.25">
      <c r="B568" s="14" t="s">
        <v>102</v>
      </c>
      <c r="C568" s="14">
        <v>100.9</v>
      </c>
    </row>
    <row r="569" spans="2:3" x14ac:dyDescent="0.25">
      <c r="B569" s="14" t="s">
        <v>103</v>
      </c>
      <c r="C569" s="14">
        <v>89.5</v>
      </c>
    </row>
    <row r="570" spans="2:3" x14ac:dyDescent="0.25">
      <c r="B570" s="14" t="s">
        <v>104</v>
      </c>
      <c r="C570" s="14">
        <v>72.8</v>
      </c>
    </row>
    <row r="571" spans="2:3" x14ac:dyDescent="0.25">
      <c r="B571" s="14" t="s">
        <v>105</v>
      </c>
      <c r="C571" s="14">
        <v>64.5</v>
      </c>
    </row>
    <row r="572" spans="2:3" x14ac:dyDescent="0.25">
      <c r="B572" s="14" t="s">
        <v>106</v>
      </c>
      <c r="C572" s="14">
        <v>125.9</v>
      </c>
    </row>
    <row r="573" spans="2:3" x14ac:dyDescent="0.25">
      <c r="B573" s="14" t="s">
        <v>107</v>
      </c>
      <c r="C573" s="14">
        <v>63</v>
      </c>
    </row>
    <row r="574" spans="2:3" x14ac:dyDescent="0.25">
      <c r="B574" s="14" t="s">
        <v>108</v>
      </c>
      <c r="C574" s="14">
        <v>81.7</v>
      </c>
    </row>
    <row r="575" spans="2:3" x14ac:dyDescent="0.25">
      <c r="B575" s="14" t="s">
        <v>87</v>
      </c>
      <c r="C575" s="14">
        <v>112.1</v>
      </c>
    </row>
    <row r="576" spans="2:3" x14ac:dyDescent="0.25">
      <c r="B576" s="14" t="s">
        <v>109</v>
      </c>
      <c r="C576" s="14">
        <v>108.6</v>
      </c>
    </row>
    <row r="577" spans="2:3" x14ac:dyDescent="0.25">
      <c r="B577" s="14" t="s">
        <v>110</v>
      </c>
      <c r="C577" s="14">
        <v>56.7</v>
      </c>
    </row>
    <row r="578" spans="2:3" x14ac:dyDescent="0.25">
      <c r="B578" s="14" t="s">
        <v>111</v>
      </c>
      <c r="C578" s="14">
        <v>86</v>
      </c>
    </row>
    <row r="579" spans="2:3" x14ac:dyDescent="0.25">
      <c r="B579" s="14" t="s">
        <v>112</v>
      </c>
      <c r="C579" s="14">
        <v>52.6</v>
      </c>
    </row>
    <row r="580" spans="2:3" x14ac:dyDescent="0.25">
      <c r="B580" s="14" t="s">
        <v>113</v>
      </c>
      <c r="C580" s="14">
        <v>83.8</v>
      </c>
    </row>
    <row r="581" spans="2:3" x14ac:dyDescent="0.25">
      <c r="B581" s="14" t="s">
        <v>114</v>
      </c>
      <c r="C581" s="14">
        <v>69.8</v>
      </c>
    </row>
    <row r="582" spans="2:3" x14ac:dyDescent="0.25">
      <c r="B582" s="14" t="s">
        <v>85</v>
      </c>
      <c r="C582" s="14">
        <v>122.4</v>
      </c>
    </row>
    <row r="583" spans="2:3" x14ac:dyDescent="0.25">
      <c r="B583" s="14" t="s">
        <v>115</v>
      </c>
      <c r="C583" s="14">
        <v>125.5</v>
      </c>
    </row>
    <row r="584" spans="2:3" x14ac:dyDescent="0.25">
      <c r="B584" s="14" t="s">
        <v>116</v>
      </c>
      <c r="C584" s="14">
        <v>116.4</v>
      </c>
    </row>
    <row r="585" spans="2:3" x14ac:dyDescent="0.25">
      <c r="B585" s="14" t="s">
        <v>117</v>
      </c>
      <c r="C585" s="14">
        <v>166.1</v>
      </c>
    </row>
    <row r="586" spans="2:3" x14ac:dyDescent="0.25">
      <c r="B586" s="14" t="s">
        <v>118</v>
      </c>
      <c r="C586" s="32" t="s">
        <v>119</v>
      </c>
    </row>
    <row r="587" spans="2:3" x14ac:dyDescent="0.25">
      <c r="B587" s="14" t="s">
        <v>120</v>
      </c>
      <c r="C587" s="14">
        <v>149.5</v>
      </c>
    </row>
    <row r="588" spans="2:3" x14ac:dyDescent="0.25">
      <c r="B588" s="14" t="s">
        <v>121</v>
      </c>
      <c r="C588" s="14">
        <v>159.9</v>
      </c>
    </row>
    <row r="589" spans="2:3" x14ac:dyDescent="0.25">
      <c r="B589" s="14" t="s">
        <v>122</v>
      </c>
      <c r="C589" s="14">
        <v>55.6</v>
      </c>
    </row>
    <row r="590" spans="2:3" x14ac:dyDescent="0.25">
      <c r="B590" s="14" t="s">
        <v>123</v>
      </c>
      <c r="C590" s="14">
        <v>47.9</v>
      </c>
    </row>
    <row r="591" spans="2:3" x14ac:dyDescent="0.25">
      <c r="B591" s="14" t="s">
        <v>124</v>
      </c>
      <c r="C591" s="14">
        <v>49.8</v>
      </c>
    </row>
    <row r="592" spans="2:3" x14ac:dyDescent="0.25">
      <c r="B592" s="14" t="s">
        <v>125</v>
      </c>
      <c r="C592" s="14">
        <v>51.9</v>
      </c>
    </row>
    <row r="593" spans="2:3" x14ac:dyDescent="0.25">
      <c r="B593" s="14" t="s">
        <v>126</v>
      </c>
      <c r="C593" s="14">
        <v>52.7</v>
      </c>
    </row>
    <row r="594" spans="2:3" x14ac:dyDescent="0.25">
      <c r="B594" s="14" t="s">
        <v>127</v>
      </c>
      <c r="C594" s="14">
        <v>52</v>
      </c>
    </row>
    <row r="595" spans="2:3" x14ac:dyDescent="0.25">
      <c r="B595" s="14" t="s">
        <v>128</v>
      </c>
      <c r="C595" s="14">
        <v>52.1</v>
      </c>
    </row>
    <row r="596" spans="2:3" x14ac:dyDescent="0.25">
      <c r="B596" s="14" t="s">
        <v>129</v>
      </c>
      <c r="C596" s="14">
        <v>114.4</v>
      </c>
    </row>
    <row r="597" spans="2:3" x14ac:dyDescent="0.25">
      <c r="B597" s="14" t="s">
        <v>130</v>
      </c>
      <c r="C597" s="14">
        <v>110.8</v>
      </c>
    </row>
  </sheetData>
  <sheetProtection password="D792" sheet="1" selectLockedCells="1"/>
  <protectedRanges>
    <protectedRange sqref="B2 D2:F3 H2" name="Headings"/>
  </protectedRanges>
  <mergeCells count="9">
    <mergeCell ref="F25:F26"/>
    <mergeCell ref="G25:G26"/>
    <mergeCell ref="B42:G42"/>
    <mergeCell ref="D2:F2"/>
    <mergeCell ref="D3:F3"/>
    <mergeCell ref="B9:G9"/>
    <mergeCell ref="E19:F19"/>
    <mergeCell ref="E20:F20"/>
    <mergeCell ref="B22:G22"/>
  </mergeCells>
  <conditionalFormatting sqref="C6 F6 I10 I14:I18 F16:F18 I23 C34 I27:I31 I39 I43 C52:C53 C59 I59">
    <cfRule type="expression" dxfId="89" priority="10">
      <formula>$H$2="£ Sterling"</formula>
    </cfRule>
  </conditionalFormatting>
  <conditionalFormatting sqref="C6 F6 I10 I14:I18 F16:F18 I23 C34 I27:I31 I39 I43 C52:C53 C59 I59">
    <cfRule type="expression" dxfId="88" priority="9">
      <formula>$H$2="$ US Dollars"</formula>
    </cfRule>
  </conditionalFormatting>
  <conditionalFormatting sqref="C6 F6 I10 I14:I18 F16:F18 I23 C34 I27:I31 I39 I43 C52:C53 C59 I59">
    <cfRule type="expression" dxfId="87" priority="8">
      <formula>$H$2="€ Euros"</formula>
    </cfRule>
  </conditionalFormatting>
  <conditionalFormatting sqref="F15 C36 C39 C51 C60">
    <cfRule type="expression" dxfId="86" priority="5">
      <formula>$H$2="$ US Dollars"</formula>
    </cfRule>
    <cfRule type="expression" dxfId="85" priority="6">
      <formula>$H$2="£ Sterling"</formula>
    </cfRule>
    <cfRule type="expression" dxfId="84" priority="7">
      <formula>$H$2="€ Euros"</formula>
    </cfRule>
  </conditionalFormatting>
  <conditionalFormatting sqref="L12">
    <cfRule type="expression" dxfId="83" priority="4">
      <formula>$H$2="€ Euros"</formula>
    </cfRule>
  </conditionalFormatting>
  <conditionalFormatting sqref="C7">
    <cfRule type="expression" dxfId="82" priority="3">
      <formula>$H$2="£ Sterling"</formula>
    </cfRule>
  </conditionalFormatting>
  <conditionalFormatting sqref="C7">
    <cfRule type="expression" dxfId="81" priority="2">
      <formula>$H$2="$ US Dollars"</formula>
    </cfRule>
  </conditionalFormatting>
  <conditionalFormatting sqref="C7">
    <cfRule type="expression" dxfId="80" priority="1">
      <formula>$H$2="€ Euros"</formula>
    </cfRule>
  </conditionalFormatting>
  <dataValidations count="21">
    <dataValidation allowBlank="1" showInputMessage="1" showErrorMessage="1" prompt="Include any equipment (capital) upgrade costs during lifetime of facility (but not annual maintenance contracts, licenses, etc.)" sqref="C7" xr:uid="{0FD7A8D4-C1E1-447A-BE05-69987653CE81}"/>
    <dataValidation allowBlank="1" showInputMessage="1" showErrorMessage="1" prompt="Other costs are costs of procurement, making a room ready e.g., decorating, wiring, etc._x000a_" sqref="F6" xr:uid="{5D9B79A4-DCBF-449F-BC21-13EB47381A92}"/>
    <dataValidation allowBlank="1" showInputMessage="1" showErrorMessage="1" prompt="Capital equipment costs include digitisation equipment, furniture, computers, etc." sqref="C6" xr:uid="{EF27C2BC-391D-4C33-A894-620E2AF0087B}"/>
    <dataValidation allowBlank="1" showErrorMessage="1" sqref="B19" xr:uid="{08BB8B68-C81B-4B66-97F9-0C92EB9B327E}"/>
    <dataValidation allowBlank="1" showInputMessage="1" showErrorMessage="1" prompt="If applicable, include costs of any upgrade(s) divided over the lifetimeof the digitisation facility e.g., if upgrade cost is €10,000 and lifetime is 5 years, enter €2,000." sqref="C18" xr:uid="{0F07566B-2677-40FE-9186-E11EBF155E29}"/>
    <dataValidation type="list" allowBlank="1" showInputMessage="1" showErrorMessage="1" prompt="Choose currency to use from dropdown list_x000a_" sqref="H2:H3" xr:uid="{FC1C250C-4CD7-4EE5-BBBF-5D11BC43C1F9}">
      <formula1>$B$541:$B$544</formula1>
    </dataValidation>
    <dataValidation type="list" allowBlank="1" showInputMessage="1" prompt="Select your institution from the drop-down list, or enter if not listed" sqref="B2:B3" xr:uid="{6DA42663-F2E2-4078-9BF8-55084CAA6FB9}">
      <formula1>$U$520:$U$527</formula1>
    </dataValidation>
    <dataValidation type="list" allowBlank="1" showInputMessage="1" showErrorMessage="1" prompt="Choose specimen category" sqref="B27" xr:uid="{5C3A0890-D1AE-4A5F-8210-BA4AFFF14B62}">
      <formula1>$B$520:$B$530</formula1>
    </dataValidation>
    <dataValidation type="list" errorStyle="information" allowBlank="1" showInputMessage="1" prompt="Choose typical batch size (or enter own value)" sqref="C31" xr:uid="{B9DC8AF4-5D42-4A9C-A00F-ABC0BD31DFBB}">
      <formula1>$H$520:$H$530</formula1>
    </dataValidation>
    <dataValidation type="list" allowBlank="1" showInputMessage="1" showErrorMessage="1" prompt="Choose unit of digitisation" sqref="B30" xr:uid="{9FA6B13B-C8DE-4092-A339-27A5C8A9770A}">
      <formula1>$E$520:$E$524</formula1>
    </dataValidation>
    <dataValidation type="list" allowBlank="1" showInputMessage="1" showErrorMessage="1" prompt="Select number of staff needed for digitisation (additional to number of fixed staff, above)" sqref="C33" xr:uid="{CE5ECF95-C611-4A51-BD60-103675CE6989}">
      <formula1>$P$520:$P$532</formula1>
    </dataValidation>
    <dataValidation type="list" allowBlank="1" showInputMessage="1" showErrorMessage="1" prompt="Choose type of process" sqref="B29" xr:uid="{8FACB7D2-8349-46D6-A477-22FC7F64812F}">
      <formula1>$M$520:$M$523</formula1>
    </dataValidation>
    <dataValidation type="list" allowBlank="1" showInputMessage="1" showErrorMessage="1" prompt="Choose type of workflow" sqref="B28" xr:uid="{AD376E0A-CF2A-4806-BC56-B2DD563BE507}">
      <formula1>$J$520:$J$523</formula1>
    </dataValidation>
    <dataValidation allowBlank="1" showInputMessage="1" showErrorMessage="1" prompt="This cell not currently used" sqref="C17" xr:uid="{7B152CBF-3AD0-4350-B005-DD7F611DB6A4}"/>
    <dataValidation allowBlank="1" showInputMessage="1" showErrorMessage="1" prompt="Enter in minutes. Add up for all persons involved. See Instructions sheet for explanation of the tasks_x000a_" sqref="F27:F31" xr:uid="{B577F310-A78C-40D4-8152-C62C8488E4DD}"/>
    <dataValidation allowBlank="1" showInputMessage="1" showErrorMessage="1" prompt="Only enter a value here if you do not know the split across the above 5 task clusters" sqref="F34" xr:uid="{D6619EAC-A878-413D-A61F-59D4FAE71ED7}"/>
    <dataValidation allowBlank="1" showInputMessage="1" showErrorMessage="1" prompt="Number of hours in working week (change if necessary)" sqref="C35" xr:uid="{20BEBC64-74C6-48E3-9E7D-E0F9FB07BAA5}"/>
    <dataValidation allowBlank="1" showInputMessage="1" showErrorMessage="1" prompt="Enter monthly average gross salary for number of staff selected above" sqref="C34" xr:uid="{093CC732-7FF7-4C3E-85EC-F856BC19D33D}"/>
    <dataValidation allowBlank="1" showInputMessage="1" showErrorMessage="1" prompt="Enter room area of your digitisation facility" sqref="C15" xr:uid="{5C558D43-7FC7-485F-B9AB-9D2D0585492E}"/>
    <dataValidation type="decimal" allowBlank="1" showInputMessage="1" showErrorMessage="1" prompt="Enter depreciation period in years (straight line depreciation will be used)" sqref="C14" xr:uid="{FF0A516F-E7A5-4A30-A7EB-C4DCE7AF2DEE}">
      <formula1>1</formula1>
      <formula2>7</formula2>
    </dataValidation>
    <dataValidation type="decimal" showInputMessage="1" showErrorMessage="1" prompt="Enter value between 0 and 20 for number of fixed staff supporting the facility i.e., even if no digitisation is occurring. Part FTE allowed." sqref="C16" xr:uid="{E9ED0D47-4C3F-4110-804E-2E98E665D95F}">
      <formula1>0</formula1>
      <formula2>20</formula2>
    </dataValidation>
  </dataValidations>
  <hyperlinks>
    <hyperlink ref="B553" r:id="rId1" xr:uid="{69DA4F6D-8D5A-4529-AFB8-DB29C329541C}"/>
  </hyperlinks>
  <pageMargins left="0.7" right="0.7" top="0.75" bottom="0.75" header="0.3" footer="0.3"/>
  <pageSetup paperSize="9" orientation="portrait" horizontalDpi="4294967293"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78A5D-1821-4853-99DD-FB5CA0CBE2DC}">
  <dimension ref="A2:AV597"/>
  <sheetViews>
    <sheetView topLeftCell="A4" workbookViewId="0">
      <selection activeCell="F18" sqref="F18"/>
    </sheetView>
  </sheetViews>
  <sheetFormatPr defaultColWidth="8.7109375" defaultRowHeight="15" x14ac:dyDescent="0.25"/>
  <cols>
    <col min="1" max="1" width="1.5703125" style="14" customWidth="1"/>
    <col min="2" max="2" width="55.5703125" style="14" bestFit="1" customWidth="1"/>
    <col min="3" max="3" width="10.28515625" style="14" bestFit="1" customWidth="1"/>
    <col min="4" max="4" width="8.7109375" style="14"/>
    <col min="5" max="5" width="29.85546875" style="32" customWidth="1"/>
    <col min="6" max="6" width="10.28515625" style="14" bestFit="1" customWidth="1"/>
    <col min="7" max="7" width="8.7109375" style="14"/>
    <col min="8" max="8" width="24.85546875" style="14" bestFit="1" customWidth="1"/>
    <col min="9" max="9" width="11.42578125" style="14" bestFit="1" customWidth="1"/>
    <col min="10" max="10" width="1.140625" style="14" customWidth="1"/>
    <col min="11" max="16384" width="8.7109375" style="14"/>
  </cols>
  <sheetData>
    <row r="2" spans="1:14" ht="42.6" customHeight="1" x14ac:dyDescent="0.25">
      <c r="B2" s="1" t="s">
        <v>146</v>
      </c>
      <c r="C2" s="57" t="str">
        <f>_xlfn.SWITCH($B$2, "APM","Belgium","LUOMUS","Finland","MNHN","France","Naturalis","Netherlands","NHMUK","UK","RBGK","UK","UTARTU","Estonia","- -")</f>
        <v>- -</v>
      </c>
      <c r="D2" s="85" t="s">
        <v>147</v>
      </c>
      <c r="E2" s="86"/>
      <c r="F2" s="87"/>
      <c r="H2" s="80" t="s">
        <v>76</v>
      </c>
    </row>
    <row r="3" spans="1:14" ht="42.6" customHeight="1" x14ac:dyDescent="0.25">
      <c r="C3" s="57"/>
      <c r="D3" s="88"/>
      <c r="E3" s="89"/>
      <c r="F3" s="90"/>
    </row>
    <row r="5" spans="1:14" x14ac:dyDescent="0.25">
      <c r="A5" s="9"/>
      <c r="B5" s="15" t="s">
        <v>30</v>
      </c>
      <c r="C5" s="16"/>
      <c r="D5" s="16"/>
      <c r="E5" s="17"/>
      <c r="F5" s="16"/>
      <c r="G5" s="16"/>
      <c r="H5" s="16"/>
      <c r="I5" s="18"/>
    </row>
    <row r="6" spans="1:14" ht="14.45" customHeight="1" x14ac:dyDescent="0.25">
      <c r="A6" s="48"/>
      <c r="B6" s="36" t="s">
        <v>22</v>
      </c>
      <c r="C6" s="2">
        <v>45000</v>
      </c>
      <c r="D6" s="20"/>
      <c r="E6" s="49" t="s">
        <v>54</v>
      </c>
      <c r="F6" s="2"/>
      <c r="G6" s="20"/>
      <c r="H6" s="20"/>
      <c r="I6" s="22"/>
    </row>
    <row r="7" spans="1:14" ht="14.45" customHeight="1" x14ac:dyDescent="0.25">
      <c r="A7" s="9"/>
      <c r="B7" s="36" t="s">
        <v>140</v>
      </c>
      <c r="C7" s="2"/>
      <c r="D7" s="20"/>
      <c r="E7" s="20"/>
      <c r="F7" s="20"/>
      <c r="G7" s="20"/>
      <c r="H7" s="20"/>
      <c r="I7" s="22"/>
    </row>
    <row r="8" spans="1:14" ht="14.45" customHeight="1" x14ac:dyDescent="0.25">
      <c r="A8" s="9"/>
      <c r="B8" s="53" t="s">
        <v>144</v>
      </c>
      <c r="C8" s="20"/>
      <c r="D8" s="20"/>
      <c r="E8" s="20"/>
      <c r="F8" s="20"/>
      <c r="G8" s="20"/>
      <c r="H8" s="20"/>
      <c r="I8" s="22"/>
    </row>
    <row r="9" spans="1:14" ht="45" customHeight="1" x14ac:dyDescent="0.25">
      <c r="A9" s="9"/>
      <c r="B9" s="83" t="s">
        <v>161</v>
      </c>
      <c r="C9" s="84"/>
      <c r="D9" s="84"/>
      <c r="E9" s="84"/>
      <c r="F9" s="84"/>
      <c r="G9" s="84"/>
      <c r="H9" s="29"/>
      <c r="I9" s="35"/>
      <c r="K9" s="70" t="s">
        <v>76</v>
      </c>
      <c r="L9" s="71" t="s">
        <v>91</v>
      </c>
      <c r="M9" s="65"/>
      <c r="N9" s="65"/>
    </row>
    <row r="10" spans="1:14" ht="14.45" customHeight="1" x14ac:dyDescent="0.25">
      <c r="A10" s="9"/>
      <c r="B10" s="10"/>
      <c r="C10" s="11"/>
      <c r="D10" s="11"/>
      <c r="E10" s="11"/>
      <c r="F10" s="11"/>
      <c r="G10" s="12"/>
      <c r="H10" s="46" t="s">
        <v>29</v>
      </c>
      <c r="I10" s="58">
        <f>C6+F6</f>
        <v>45000</v>
      </c>
      <c r="K10" s="68">
        <f>$I$10*VLOOKUP($H$2,$B$547:$C$549,2,)</f>
        <v>45000</v>
      </c>
      <c r="L10" s="68">
        <f>$I$10*VLOOKUP($H$2,$B$547:$C$549,2,)*100/VLOOKUP($C$2,$B$555:$C$597,2,)</f>
        <v>45000</v>
      </c>
    </row>
    <row r="11" spans="1:14" ht="14.45" customHeight="1" x14ac:dyDescent="0.25">
      <c r="A11" s="9"/>
      <c r="B11" s="9"/>
      <c r="C11" s="9"/>
      <c r="D11" s="9"/>
      <c r="E11" s="9"/>
      <c r="F11" s="9"/>
      <c r="G11" s="9"/>
      <c r="H11" s="47"/>
    </row>
    <row r="12" spans="1:14" ht="14.45" customHeight="1" x14ac:dyDescent="0.25">
      <c r="B12" s="15" t="s">
        <v>27</v>
      </c>
      <c r="C12" s="16"/>
      <c r="D12" s="16"/>
      <c r="E12" s="16"/>
      <c r="F12" s="16"/>
      <c r="G12" s="16"/>
      <c r="H12" s="16"/>
      <c r="I12" s="18"/>
    </row>
    <row r="13" spans="1:14" ht="14.45" customHeight="1" x14ac:dyDescent="0.25">
      <c r="B13" s="19"/>
      <c r="C13" s="20"/>
      <c r="D13" s="20"/>
      <c r="E13" s="20"/>
      <c r="F13" s="20"/>
      <c r="G13" s="20"/>
      <c r="H13" s="29" t="s">
        <v>26</v>
      </c>
      <c r="I13" s="22"/>
    </row>
    <row r="14" spans="1:14" x14ac:dyDescent="0.25">
      <c r="A14" s="44"/>
      <c r="B14" s="36" t="s">
        <v>133</v>
      </c>
      <c r="C14" s="2">
        <v>7</v>
      </c>
      <c r="D14" s="20"/>
      <c r="E14" s="21"/>
      <c r="F14" s="20"/>
      <c r="G14" s="20"/>
      <c r="H14" s="20" t="s">
        <v>25</v>
      </c>
      <c r="I14" s="24">
        <f>(C6+C7)/C14</f>
        <v>6428.5714285714284</v>
      </c>
    </row>
    <row r="15" spans="1:14" ht="17.25" x14ac:dyDescent="0.25">
      <c r="B15" s="36" t="s">
        <v>20</v>
      </c>
      <c r="C15" s="3">
        <v>12</v>
      </c>
      <c r="D15" s="20"/>
      <c r="E15" s="21" t="s">
        <v>21</v>
      </c>
      <c r="F15" s="59">
        <v>0</v>
      </c>
      <c r="G15" s="20"/>
      <c r="H15" s="20" t="s">
        <v>60</v>
      </c>
      <c r="I15" s="24">
        <f>C15*F15*12</f>
        <v>0</v>
      </c>
    </row>
    <row r="16" spans="1:14" x14ac:dyDescent="0.25">
      <c r="B16" s="36" t="s">
        <v>142</v>
      </c>
      <c r="C16" s="4">
        <v>0</v>
      </c>
      <c r="D16" s="20"/>
      <c r="E16" s="21" t="s">
        <v>141</v>
      </c>
      <c r="F16" s="2">
        <v>4635</v>
      </c>
      <c r="G16" s="20"/>
      <c r="H16" s="20" t="s">
        <v>61</v>
      </c>
      <c r="I16" s="24">
        <f>C16*F16*12</f>
        <v>0</v>
      </c>
    </row>
    <row r="17" spans="1:48" x14ac:dyDescent="0.25">
      <c r="B17" s="36"/>
      <c r="C17" s="76"/>
      <c r="D17" s="20"/>
      <c r="E17" s="21" t="s">
        <v>51</v>
      </c>
      <c r="F17" s="2">
        <v>1158</v>
      </c>
      <c r="G17" s="20"/>
      <c r="H17" s="20" t="s">
        <v>62</v>
      </c>
      <c r="I17" s="24">
        <f>F17*12</f>
        <v>13896</v>
      </c>
    </row>
    <row r="18" spans="1:48" x14ac:dyDescent="0.25">
      <c r="B18" s="36"/>
      <c r="C18" s="77"/>
      <c r="D18" s="20"/>
      <c r="E18" s="21" t="s">
        <v>53</v>
      </c>
      <c r="F18" s="2"/>
      <c r="G18" s="20"/>
      <c r="H18" s="20" t="s">
        <v>52</v>
      </c>
      <c r="I18" s="24">
        <f>F18*12</f>
        <v>0</v>
      </c>
    </row>
    <row r="19" spans="1:48" x14ac:dyDescent="0.25">
      <c r="B19" s="75"/>
      <c r="C19" s="73"/>
      <c r="D19" s="42"/>
      <c r="E19" s="91" t="s">
        <v>138</v>
      </c>
      <c r="F19" s="91"/>
      <c r="G19" s="20"/>
      <c r="H19" s="20"/>
      <c r="I19" s="22"/>
    </row>
    <row r="20" spans="1:48" x14ac:dyDescent="0.25">
      <c r="B20" s="74"/>
      <c r="C20" s="20"/>
      <c r="D20" s="20"/>
      <c r="E20" s="91" t="s">
        <v>139</v>
      </c>
      <c r="F20" s="91"/>
      <c r="G20" s="20"/>
      <c r="H20" s="26"/>
      <c r="I20" s="22"/>
      <c r="AV20" s="33"/>
    </row>
    <row r="21" spans="1:48" x14ac:dyDescent="0.25">
      <c r="B21" s="53" t="s">
        <v>143</v>
      </c>
      <c r="C21" s="20"/>
      <c r="D21" s="20"/>
      <c r="E21" s="21"/>
      <c r="F21" s="20"/>
      <c r="G21" s="20"/>
      <c r="H21" s="26"/>
      <c r="I21" s="22"/>
      <c r="AV21" s="33"/>
    </row>
    <row r="22" spans="1:48" ht="45" customHeight="1" x14ac:dyDescent="0.25">
      <c r="A22" s="9"/>
      <c r="B22" s="83" t="s">
        <v>159</v>
      </c>
      <c r="C22" s="84"/>
      <c r="D22" s="84"/>
      <c r="E22" s="84"/>
      <c r="F22" s="84"/>
      <c r="G22" s="84"/>
      <c r="H22" s="29"/>
      <c r="I22" s="35"/>
      <c r="K22" s="70" t="s">
        <v>76</v>
      </c>
      <c r="L22" s="71" t="s">
        <v>91</v>
      </c>
    </row>
    <row r="23" spans="1:48" ht="14.45" customHeight="1" x14ac:dyDescent="0.25">
      <c r="A23" s="9"/>
      <c r="B23" s="10"/>
      <c r="C23" s="11"/>
      <c r="D23" s="11"/>
      <c r="E23" s="11"/>
      <c r="F23" s="11"/>
      <c r="G23" s="12"/>
      <c r="H23" s="43" t="s">
        <v>24</v>
      </c>
      <c r="I23" s="58">
        <f>SUM(I14, I15, I16, I17, I18)</f>
        <v>20324.571428571428</v>
      </c>
      <c r="K23" s="68">
        <f>$I$23*VLOOKUP($H$2,$B$547:$C$549,2,)</f>
        <v>20324.571428571428</v>
      </c>
      <c r="L23" s="68">
        <f>$I$23*VLOOKUP($H$2,$B$547:$C$549,2,)*100/VLOOKUP($C$2,$B$555:$C$597,2,)</f>
        <v>20324.571428571428</v>
      </c>
    </row>
    <row r="24" spans="1:48" x14ac:dyDescent="0.25">
      <c r="H24" s="44"/>
      <c r="AV24" s="33"/>
    </row>
    <row r="25" spans="1:48" ht="15.95" customHeight="1" x14ac:dyDescent="0.25">
      <c r="B25" s="15" t="s">
        <v>28</v>
      </c>
      <c r="C25" s="16"/>
      <c r="D25" s="16"/>
      <c r="E25" s="17"/>
      <c r="F25" s="81" t="s">
        <v>131</v>
      </c>
      <c r="G25" s="81" t="s">
        <v>40</v>
      </c>
      <c r="H25" s="16"/>
      <c r="I25" s="18"/>
      <c r="AQ25" s="33"/>
      <c r="AR25" s="33"/>
      <c r="AS25" s="33"/>
      <c r="AT25" s="33"/>
      <c r="AU25" s="33"/>
      <c r="AV25" s="33"/>
    </row>
    <row r="26" spans="1:48" ht="15.95" customHeight="1" x14ac:dyDescent="0.25">
      <c r="B26" s="19" t="s">
        <v>37</v>
      </c>
      <c r="C26" s="20"/>
      <c r="D26" s="29" t="s">
        <v>14</v>
      </c>
      <c r="E26" s="21"/>
      <c r="F26" s="82"/>
      <c r="G26" s="82"/>
      <c r="H26" s="45" t="s">
        <v>32</v>
      </c>
      <c r="I26" s="22"/>
      <c r="AU26" s="33"/>
      <c r="AV26" s="33"/>
    </row>
    <row r="27" spans="1:48" x14ac:dyDescent="0.25">
      <c r="B27" s="5" t="s">
        <v>0</v>
      </c>
      <c r="C27" s="42"/>
      <c r="D27" s="42" t="s">
        <v>44</v>
      </c>
      <c r="E27" s="21"/>
      <c r="F27" s="54"/>
      <c r="G27" s="41">
        <f>F27*C31/60</f>
        <v>0</v>
      </c>
      <c r="H27" s="39"/>
      <c r="I27" s="24">
        <f>G27*C36*C32*12</f>
        <v>0</v>
      </c>
      <c r="AV27" s="33"/>
    </row>
    <row r="28" spans="1:48" ht="15" customHeight="1" x14ac:dyDescent="0.25">
      <c r="B28" s="5" t="s">
        <v>42</v>
      </c>
      <c r="C28" s="42"/>
      <c r="D28" s="42" t="s">
        <v>73</v>
      </c>
      <c r="E28" s="21"/>
      <c r="F28" s="54"/>
      <c r="G28" s="41">
        <f>F28*C31/60</f>
        <v>0</v>
      </c>
      <c r="H28" s="39"/>
      <c r="I28" s="24">
        <f>G28*C36*C32*12</f>
        <v>0</v>
      </c>
    </row>
    <row r="29" spans="1:48" x14ac:dyDescent="0.25">
      <c r="B29" s="5" t="s">
        <v>1</v>
      </c>
      <c r="C29" s="20"/>
      <c r="D29" s="42" t="s">
        <v>45</v>
      </c>
      <c r="E29" s="21"/>
      <c r="F29" s="54"/>
      <c r="G29" s="41">
        <f>F29*C31/60</f>
        <v>0</v>
      </c>
      <c r="H29" s="39"/>
      <c r="I29" s="24">
        <f>G29*C36*C32*12</f>
        <v>0</v>
      </c>
    </row>
    <row r="30" spans="1:48" x14ac:dyDescent="0.25">
      <c r="B30" s="5" t="s">
        <v>15</v>
      </c>
      <c r="C30" s="21"/>
      <c r="D30" s="42" t="s">
        <v>74</v>
      </c>
      <c r="E30" s="21"/>
      <c r="F30" s="54"/>
      <c r="G30" s="41">
        <f>F30*C31/60</f>
        <v>0</v>
      </c>
      <c r="H30" s="39"/>
      <c r="I30" s="24">
        <f>G30*C36*C32*12</f>
        <v>0</v>
      </c>
    </row>
    <row r="31" spans="1:48" x14ac:dyDescent="0.25">
      <c r="B31" s="23" t="s">
        <v>136</v>
      </c>
      <c r="C31" s="7">
        <v>1</v>
      </c>
      <c r="D31" s="42" t="s">
        <v>46</v>
      </c>
      <c r="E31" s="21"/>
      <c r="F31" s="54"/>
      <c r="G31" s="41">
        <f>F31*C31/60</f>
        <v>0</v>
      </c>
      <c r="H31" s="39"/>
      <c r="I31" s="24">
        <f>G31*C36*C32*12</f>
        <v>0</v>
      </c>
    </row>
    <row r="32" spans="1:48" x14ac:dyDescent="0.25">
      <c r="B32" s="23" t="s">
        <v>48</v>
      </c>
      <c r="C32" s="6">
        <v>100</v>
      </c>
      <c r="D32" s="42"/>
      <c r="E32" s="21"/>
      <c r="F32" s="20"/>
      <c r="G32" s="20"/>
      <c r="H32" s="39"/>
      <c r="I32" s="22"/>
    </row>
    <row r="33" spans="1:12" x14ac:dyDescent="0.25">
      <c r="B33" s="23" t="s">
        <v>58</v>
      </c>
      <c r="C33" s="7">
        <v>1</v>
      </c>
      <c r="D33" s="20"/>
      <c r="E33" s="42" t="s">
        <v>47</v>
      </c>
      <c r="F33" s="20"/>
      <c r="G33" s="20"/>
      <c r="H33" s="20"/>
      <c r="I33" s="22"/>
    </row>
    <row r="34" spans="1:12" x14ac:dyDescent="0.25">
      <c r="B34" s="23" t="s">
        <v>23</v>
      </c>
      <c r="C34" s="60">
        <v>4635</v>
      </c>
      <c r="D34" s="21"/>
      <c r="E34" s="21" t="s">
        <v>57</v>
      </c>
      <c r="F34" s="8">
        <v>90</v>
      </c>
      <c r="G34" s="20"/>
      <c r="H34" s="20"/>
      <c r="I34" s="22"/>
    </row>
    <row r="35" spans="1:12" x14ac:dyDescent="0.25">
      <c r="B35" s="23" t="s">
        <v>39</v>
      </c>
      <c r="C35" s="7">
        <v>38</v>
      </c>
      <c r="D35" s="20"/>
      <c r="E35" s="21"/>
      <c r="F35" s="20"/>
      <c r="G35" s="20"/>
      <c r="H35" s="20"/>
      <c r="I35" s="22"/>
    </row>
    <row r="36" spans="1:12" x14ac:dyDescent="0.25">
      <c r="B36" s="36" t="s">
        <v>63</v>
      </c>
      <c r="C36" s="61">
        <f>C33*C34/4.333/C35</f>
        <v>28.149938659249091</v>
      </c>
      <c r="D36" s="20"/>
      <c r="E36" s="21" t="s">
        <v>132</v>
      </c>
      <c r="F36" s="37">
        <f>IF(F34=0,SUM(F27:F31),F34)</f>
        <v>90</v>
      </c>
      <c r="G36" s="38">
        <f>IF(F34=0,F36*C31/60,F34*C31/60)</f>
        <v>1.5</v>
      </c>
      <c r="H36" s="20"/>
      <c r="I36" s="22"/>
    </row>
    <row r="37" spans="1:12" x14ac:dyDescent="0.25">
      <c r="B37" s="36"/>
      <c r="C37" s="39"/>
      <c r="D37" s="20"/>
      <c r="E37" s="40"/>
      <c r="F37" s="26"/>
      <c r="G37" s="26"/>
      <c r="H37" s="20"/>
      <c r="I37" s="22"/>
    </row>
    <row r="38" spans="1:12" x14ac:dyDescent="0.25">
      <c r="B38" s="23" t="s">
        <v>134</v>
      </c>
      <c r="C38" s="39"/>
      <c r="D38" s="20"/>
      <c r="E38" s="40"/>
      <c r="F38" s="26"/>
      <c r="G38" s="26"/>
      <c r="H38" s="20"/>
      <c r="I38" s="22"/>
    </row>
    <row r="39" spans="1:12" x14ac:dyDescent="0.25">
      <c r="B39" s="23" t="s">
        <v>135</v>
      </c>
      <c r="C39" s="62"/>
      <c r="D39" s="20"/>
      <c r="E39" s="21"/>
      <c r="F39" s="20"/>
      <c r="G39" s="41"/>
      <c r="H39" s="20" t="s">
        <v>56</v>
      </c>
      <c r="I39" s="24">
        <f>C39*C32*12</f>
        <v>0</v>
      </c>
    </row>
    <row r="40" spans="1:12" ht="14.45" customHeight="1" x14ac:dyDescent="0.25">
      <c r="B40" s="23"/>
      <c r="C40" s="39"/>
      <c r="D40" s="20"/>
      <c r="E40" s="21"/>
      <c r="F40" s="20"/>
      <c r="G40" s="41"/>
      <c r="H40" s="20"/>
      <c r="I40" s="35"/>
    </row>
    <row r="41" spans="1:12" ht="14.45" customHeight="1" x14ac:dyDescent="0.25">
      <c r="B41" s="50" t="s">
        <v>72</v>
      </c>
      <c r="C41" s="51"/>
      <c r="D41" s="51"/>
      <c r="E41" s="51"/>
      <c r="F41" s="51"/>
      <c r="G41" s="52"/>
      <c r="H41" s="20"/>
      <c r="I41" s="35"/>
    </row>
    <row r="42" spans="1:12" ht="45" customHeight="1" x14ac:dyDescent="0.25">
      <c r="A42" s="9"/>
      <c r="B42" s="83" t="s">
        <v>155</v>
      </c>
      <c r="C42" s="84"/>
      <c r="D42" s="84"/>
      <c r="E42" s="84"/>
      <c r="F42" s="84"/>
      <c r="G42" s="84"/>
      <c r="H42" s="29"/>
      <c r="I42" s="35"/>
      <c r="K42" s="70" t="s">
        <v>76</v>
      </c>
      <c r="L42" s="71" t="s">
        <v>91</v>
      </c>
    </row>
    <row r="43" spans="1:12" x14ac:dyDescent="0.25">
      <c r="A43" s="9"/>
      <c r="B43" s="10"/>
      <c r="C43" s="11"/>
      <c r="D43" s="11"/>
      <c r="E43" s="11"/>
      <c r="F43" s="11"/>
      <c r="G43" s="12"/>
      <c r="H43" s="13" t="s">
        <v>55</v>
      </c>
      <c r="I43" s="58">
        <f>IF(F34=0, SUM(I27:I31, I39), (G36*C36*C32*12)+I39)</f>
        <v>50669.889586648365</v>
      </c>
      <c r="K43" s="68">
        <f>$I$43*VLOOKUP($H$2,$B$547:$C$549,2,)</f>
        <v>50669.889586648365</v>
      </c>
      <c r="L43" s="68">
        <f>$I$43*VLOOKUP($H$2,$B$547:$C$549,2,)*100/VLOOKUP($C$2,$B$555:$C$597,2,)</f>
        <v>50669.889586648365</v>
      </c>
    </row>
    <row r="49" spans="2:12" x14ac:dyDescent="0.25">
      <c r="B49" s="15" t="s">
        <v>66</v>
      </c>
      <c r="C49" s="16"/>
      <c r="D49" s="16"/>
      <c r="E49" s="17"/>
      <c r="F49" s="16"/>
      <c r="G49" s="16"/>
      <c r="H49" s="16"/>
      <c r="I49" s="18"/>
    </row>
    <row r="50" spans="2:12" x14ac:dyDescent="0.25">
      <c r="B50" s="19"/>
      <c r="C50" s="20"/>
      <c r="D50" s="20"/>
      <c r="E50" s="21"/>
      <c r="F50" s="20"/>
      <c r="G50" s="20"/>
      <c r="H50" s="20"/>
      <c r="I50" s="22"/>
    </row>
    <row r="51" spans="2:12" x14ac:dyDescent="0.25">
      <c r="B51" s="19" t="s">
        <v>64</v>
      </c>
      <c r="C51" s="24">
        <f>C36+(C16*F16*12/52/C35)</f>
        <v>28.149938659249091</v>
      </c>
      <c r="D51" s="20"/>
      <c r="E51" s="21"/>
      <c r="F51" s="20"/>
      <c r="G51" s="20"/>
      <c r="H51" s="20"/>
      <c r="I51" s="22"/>
    </row>
    <row r="52" spans="2:12" x14ac:dyDescent="0.25">
      <c r="B52" s="19" t="s">
        <v>65</v>
      </c>
      <c r="C52" s="24">
        <f>I23</f>
        <v>20324.571428571428</v>
      </c>
      <c r="D52" s="20"/>
      <c r="E52" s="21"/>
      <c r="F52" s="20"/>
      <c r="G52" s="20"/>
      <c r="H52" s="20"/>
      <c r="I52" s="22"/>
    </row>
    <row r="53" spans="2:12" x14ac:dyDescent="0.25">
      <c r="B53" s="23" t="s">
        <v>67</v>
      </c>
      <c r="C53" s="24">
        <f>G36*C36+C39</f>
        <v>42.224907988873639</v>
      </c>
      <c r="D53" s="20"/>
      <c r="E53" s="20"/>
      <c r="F53" s="20"/>
      <c r="G53" s="20"/>
      <c r="H53" s="20"/>
      <c r="I53" s="22"/>
    </row>
    <row r="54" spans="2:12" x14ac:dyDescent="0.25">
      <c r="B54" s="19"/>
      <c r="C54" s="20"/>
      <c r="D54" s="20"/>
      <c r="E54" s="21"/>
      <c r="F54" s="20"/>
      <c r="G54" s="20"/>
      <c r="H54" s="20"/>
      <c r="I54" s="22"/>
    </row>
    <row r="55" spans="2:12" x14ac:dyDescent="0.25">
      <c r="B55" s="19" t="s">
        <v>68</v>
      </c>
      <c r="C55" s="24">
        <f>C32*12</f>
        <v>1200</v>
      </c>
      <c r="D55" s="20"/>
      <c r="E55" s="21"/>
      <c r="F55" s="20"/>
      <c r="G55" s="20"/>
      <c r="H55" s="20"/>
      <c r="I55" s="22"/>
    </row>
    <row r="56" spans="2:12" x14ac:dyDescent="0.25">
      <c r="B56" s="19" t="s">
        <v>69</v>
      </c>
      <c r="C56" s="24">
        <f>C55*C31</f>
        <v>1200</v>
      </c>
      <c r="D56" s="20"/>
      <c r="E56" s="21"/>
      <c r="F56" s="20"/>
      <c r="G56" s="20"/>
      <c r="H56" s="20"/>
      <c r="I56" s="22"/>
    </row>
    <row r="57" spans="2:12" x14ac:dyDescent="0.25">
      <c r="B57" s="19"/>
      <c r="C57" s="25"/>
      <c r="D57" s="20"/>
      <c r="E57" s="21"/>
      <c r="F57" s="20"/>
      <c r="G57" s="20"/>
      <c r="H57" s="20"/>
      <c r="I57" s="22"/>
      <c r="K57" s="70" t="s">
        <v>76</v>
      </c>
      <c r="L57" s="71" t="s">
        <v>91</v>
      </c>
    </row>
    <row r="58" spans="2:12" x14ac:dyDescent="0.25">
      <c r="B58" s="19"/>
      <c r="C58" s="20"/>
      <c r="D58" s="20"/>
      <c r="E58" s="21"/>
      <c r="F58" s="20"/>
      <c r="G58" s="20"/>
      <c r="H58" s="26"/>
      <c r="I58" s="27"/>
    </row>
    <row r="59" spans="2:12" x14ac:dyDescent="0.25">
      <c r="B59" s="28" t="s">
        <v>71</v>
      </c>
      <c r="C59" s="58">
        <f>C53+(C52/C55)</f>
        <v>59.162050846016498</v>
      </c>
      <c r="D59" s="20"/>
      <c r="E59" s="21"/>
      <c r="F59" s="20"/>
      <c r="G59" s="20"/>
      <c r="H59" s="29" t="s">
        <v>59</v>
      </c>
      <c r="I59" s="58">
        <f>C53*C55+C52</f>
        <v>70994.4610152198</v>
      </c>
      <c r="K59" s="68">
        <f>$I$59*VLOOKUP($H$2,$B$547:$C$549,2,)</f>
        <v>70994.4610152198</v>
      </c>
      <c r="L59" s="68">
        <f>$I$59*VLOOKUP($H$2,$B$547:$C$549,2,)*100/VLOOKUP($C$2,$B$555:$C$597,2,)</f>
        <v>70994.4610152198</v>
      </c>
    </row>
    <row r="60" spans="2:12" x14ac:dyDescent="0.25">
      <c r="B60" s="30" t="s">
        <v>70</v>
      </c>
      <c r="C60" s="58">
        <f>C59/C31</f>
        <v>59.162050846016498</v>
      </c>
      <c r="D60" s="12"/>
      <c r="E60" s="31"/>
      <c r="F60" s="12"/>
      <c r="G60" s="12"/>
      <c r="H60" s="12"/>
      <c r="I60" s="27"/>
    </row>
    <row r="62" spans="2:12" x14ac:dyDescent="0.25">
      <c r="C62" s="66" t="s">
        <v>76</v>
      </c>
      <c r="D62" s="67" t="s">
        <v>91</v>
      </c>
    </row>
    <row r="63" spans="2:12" x14ac:dyDescent="0.25">
      <c r="B63" s="44" t="s">
        <v>71</v>
      </c>
      <c r="C63" s="68">
        <f>$C$59*VLOOKUP($H$2,$B$547:$C$549,2,)</f>
        <v>59.162050846016498</v>
      </c>
      <c r="D63" s="68">
        <f>$C$59*VLOOKUP($H$2,$B$547:$C$549,2,)*100/VLOOKUP($C$2,$B$555:$C$597,2,)</f>
        <v>59.162050846016498</v>
      </c>
    </row>
    <row r="64" spans="2:12" x14ac:dyDescent="0.25">
      <c r="B64" s="44" t="s">
        <v>70</v>
      </c>
      <c r="C64" s="69">
        <f>$C$60*VLOOKUP($H$2,$B$547:$C$549,2,)</f>
        <v>59.162050846016498</v>
      </c>
      <c r="D64" s="69">
        <f>$C$60*VLOOKUP($H$2,$B$547:$C$549,2,)*100/VLOOKUP($C$2,$B$555:$C$597,2,)</f>
        <v>59.162050846016498</v>
      </c>
    </row>
    <row r="517" spans="2:21" x14ac:dyDescent="0.25">
      <c r="B517" s="14" t="s">
        <v>50</v>
      </c>
    </row>
    <row r="520" spans="2:21" x14ac:dyDescent="0.25">
      <c r="B520" s="14" t="s">
        <v>31</v>
      </c>
      <c r="E520" s="33" t="s">
        <v>33</v>
      </c>
      <c r="H520" s="33" t="s">
        <v>34</v>
      </c>
      <c r="J520" s="33" t="s">
        <v>35</v>
      </c>
      <c r="M520" s="33" t="s">
        <v>36</v>
      </c>
      <c r="P520" s="14" t="s">
        <v>38</v>
      </c>
      <c r="Q520" s="33"/>
      <c r="U520" s="14" t="s">
        <v>49</v>
      </c>
    </row>
    <row r="521" spans="2:21" x14ac:dyDescent="0.25">
      <c r="B521" s="34" t="s">
        <v>137</v>
      </c>
      <c r="E521" s="33" t="s">
        <v>15</v>
      </c>
      <c r="H521" s="33">
        <v>1</v>
      </c>
      <c r="J521" s="33" t="s">
        <v>41</v>
      </c>
      <c r="M521" s="33" t="s">
        <v>1</v>
      </c>
      <c r="P521" s="14">
        <v>0</v>
      </c>
      <c r="U521" s="14" t="s">
        <v>10</v>
      </c>
    </row>
    <row r="522" spans="2:21" x14ac:dyDescent="0.25">
      <c r="B522" s="34" t="s">
        <v>18</v>
      </c>
      <c r="E522" s="33" t="s">
        <v>16</v>
      </c>
      <c r="H522" s="33">
        <v>10</v>
      </c>
      <c r="J522" s="33" t="s">
        <v>42</v>
      </c>
      <c r="M522" s="33" t="s">
        <v>2</v>
      </c>
      <c r="P522" s="14">
        <v>1</v>
      </c>
      <c r="U522" s="14" t="s">
        <v>12</v>
      </c>
    </row>
    <row r="523" spans="2:21" x14ac:dyDescent="0.25">
      <c r="B523" s="34" t="s">
        <v>4</v>
      </c>
      <c r="E523" s="33" t="s">
        <v>17</v>
      </c>
      <c r="H523" s="33">
        <v>50</v>
      </c>
      <c r="J523" s="33" t="s">
        <v>43</v>
      </c>
      <c r="M523" s="33" t="s">
        <v>3</v>
      </c>
      <c r="P523" s="14">
        <v>2</v>
      </c>
      <c r="U523" s="14" t="s">
        <v>80</v>
      </c>
    </row>
    <row r="524" spans="2:21" x14ac:dyDescent="0.25">
      <c r="B524" s="34" t="s">
        <v>5</v>
      </c>
      <c r="E524" s="33" t="s">
        <v>0</v>
      </c>
      <c r="H524" s="33">
        <v>100</v>
      </c>
      <c r="P524" s="14">
        <v>3</v>
      </c>
      <c r="U524" s="14" t="s">
        <v>11</v>
      </c>
    </row>
    <row r="525" spans="2:21" x14ac:dyDescent="0.25">
      <c r="B525" s="34" t="s">
        <v>6</v>
      </c>
      <c r="E525" s="14"/>
      <c r="H525" s="33">
        <v>500</v>
      </c>
      <c r="P525" s="14">
        <v>4</v>
      </c>
      <c r="U525" s="14" t="s">
        <v>82</v>
      </c>
    </row>
    <row r="526" spans="2:21" x14ac:dyDescent="0.25">
      <c r="B526" s="34" t="s">
        <v>9</v>
      </c>
      <c r="E526" s="14"/>
      <c r="H526" s="33">
        <v>1000</v>
      </c>
      <c r="P526" s="14">
        <v>5</v>
      </c>
      <c r="U526" s="14" t="s">
        <v>81</v>
      </c>
    </row>
    <row r="527" spans="2:21" x14ac:dyDescent="0.25">
      <c r="B527" s="34" t="s">
        <v>7</v>
      </c>
      <c r="E527" s="14"/>
      <c r="H527" s="33">
        <v>5000</v>
      </c>
      <c r="P527" s="14">
        <v>6</v>
      </c>
      <c r="U527" s="14" t="s">
        <v>13</v>
      </c>
    </row>
    <row r="528" spans="2:21" x14ac:dyDescent="0.25">
      <c r="B528" s="34" t="s">
        <v>8</v>
      </c>
      <c r="E528" s="14"/>
      <c r="H528" s="33">
        <v>10000</v>
      </c>
      <c r="P528" s="14">
        <v>7</v>
      </c>
    </row>
    <row r="529" spans="2:16" x14ac:dyDescent="0.25">
      <c r="B529" s="34" t="s">
        <v>19</v>
      </c>
      <c r="E529" s="14"/>
      <c r="H529" s="33">
        <v>50000</v>
      </c>
      <c r="P529" s="14">
        <v>8</v>
      </c>
    </row>
    <row r="530" spans="2:16" x14ac:dyDescent="0.25">
      <c r="B530" s="34" t="s">
        <v>0</v>
      </c>
      <c r="E530" s="14"/>
      <c r="H530" s="33">
        <v>100000</v>
      </c>
      <c r="P530" s="14">
        <v>9</v>
      </c>
    </row>
    <row r="531" spans="2:16" x14ac:dyDescent="0.25">
      <c r="E531" s="14"/>
      <c r="H531" s="33"/>
      <c r="P531" s="14">
        <v>10</v>
      </c>
    </row>
    <row r="532" spans="2:16" x14ac:dyDescent="0.25">
      <c r="E532" s="14"/>
    </row>
    <row r="533" spans="2:16" x14ac:dyDescent="0.25">
      <c r="E533" s="14"/>
    </row>
    <row r="539" spans="2:16" x14ac:dyDescent="0.25">
      <c r="B539" s="14" t="s">
        <v>78</v>
      </c>
    </row>
    <row r="541" spans="2:16" x14ac:dyDescent="0.25">
      <c r="B541" s="14" t="s">
        <v>83</v>
      </c>
    </row>
    <row r="542" spans="2:16" x14ac:dyDescent="0.25">
      <c r="B542" s="34" t="s">
        <v>76</v>
      </c>
      <c r="E542" s="34"/>
      <c r="F542" s="34"/>
      <c r="G542" s="34"/>
      <c r="H542" s="34"/>
    </row>
    <row r="543" spans="2:16" x14ac:dyDescent="0.25">
      <c r="B543" s="34" t="s">
        <v>75</v>
      </c>
      <c r="E543" s="34"/>
      <c r="F543" s="34"/>
      <c r="G543" s="34"/>
      <c r="H543" s="34"/>
    </row>
    <row r="544" spans="2:16" x14ac:dyDescent="0.25">
      <c r="B544" s="34" t="s">
        <v>77</v>
      </c>
      <c r="C544" s="34"/>
      <c r="D544" s="34"/>
      <c r="E544" s="34"/>
      <c r="F544" s="34"/>
      <c r="G544" s="34"/>
      <c r="H544" s="34"/>
    </row>
    <row r="545" spans="2:8" x14ac:dyDescent="0.25">
      <c r="C545" s="34"/>
      <c r="D545" s="34"/>
      <c r="E545" s="34"/>
      <c r="F545" s="34"/>
      <c r="G545" s="34"/>
      <c r="H545" s="34"/>
    </row>
    <row r="546" spans="2:8" x14ac:dyDescent="0.25">
      <c r="B546" s="56" t="s">
        <v>90</v>
      </c>
      <c r="C546" s="56" t="s">
        <v>79</v>
      </c>
      <c r="D546" s="56"/>
      <c r="E546" s="34"/>
      <c r="H546" s="34"/>
    </row>
    <row r="547" spans="2:8" x14ac:dyDescent="0.25">
      <c r="B547" s="34" t="s">
        <v>76</v>
      </c>
      <c r="C547" s="78">
        <v>1</v>
      </c>
      <c r="D547" s="34"/>
      <c r="E547" s="34"/>
      <c r="F547" s="34"/>
      <c r="G547" s="34"/>
      <c r="H547" s="34"/>
    </row>
    <row r="548" spans="2:8" x14ac:dyDescent="0.25">
      <c r="B548" s="34" t="s">
        <v>75</v>
      </c>
      <c r="C548" s="78">
        <v>1.1355900000000001</v>
      </c>
      <c r="D548" s="78"/>
      <c r="E548" s="34"/>
      <c r="F548" s="34"/>
      <c r="G548" s="34"/>
      <c r="H548" s="34"/>
    </row>
    <row r="549" spans="2:8" x14ac:dyDescent="0.25">
      <c r="B549" s="34" t="s">
        <v>77</v>
      </c>
      <c r="C549" s="55">
        <v>0.89676</v>
      </c>
    </row>
    <row r="552" spans="2:8" x14ac:dyDescent="0.25">
      <c r="B552" s="56" t="s">
        <v>92</v>
      </c>
      <c r="C552" s="72"/>
    </row>
    <row r="553" spans="2:8" x14ac:dyDescent="0.25">
      <c r="B553" s="79" t="s">
        <v>145</v>
      </c>
    </row>
    <row r="555" spans="2:8" x14ac:dyDescent="0.25">
      <c r="B555" s="64" t="s">
        <v>89</v>
      </c>
      <c r="C555" s="63">
        <v>100</v>
      </c>
    </row>
    <row r="556" spans="2:8" x14ac:dyDescent="0.25">
      <c r="B556" s="14" t="s">
        <v>93</v>
      </c>
      <c r="C556" s="14">
        <v>100</v>
      </c>
    </row>
    <row r="557" spans="2:8" x14ac:dyDescent="0.25">
      <c r="B557" s="14" t="s">
        <v>84</v>
      </c>
      <c r="C557" s="14">
        <v>110.8</v>
      </c>
    </row>
    <row r="558" spans="2:8" x14ac:dyDescent="0.25">
      <c r="B558" s="14" t="s">
        <v>94</v>
      </c>
      <c r="C558" s="14">
        <v>49.6</v>
      </c>
    </row>
    <row r="559" spans="2:8" x14ac:dyDescent="0.25">
      <c r="B559" s="14" t="s">
        <v>95</v>
      </c>
      <c r="C559" s="14">
        <v>68.2</v>
      </c>
    </row>
    <row r="560" spans="2:8" x14ac:dyDescent="0.25">
      <c r="B560" s="14" t="s">
        <v>96</v>
      </c>
      <c r="C560" s="14">
        <v>138.9</v>
      </c>
    </row>
    <row r="561" spans="2:3" x14ac:dyDescent="0.25">
      <c r="B561" s="14" t="s">
        <v>97</v>
      </c>
      <c r="C561" s="14">
        <v>104</v>
      </c>
    </row>
    <row r="562" spans="2:3" x14ac:dyDescent="0.25">
      <c r="B562" s="14" t="s">
        <v>88</v>
      </c>
      <c r="C562" s="14">
        <v>78.099999999999994</v>
      </c>
    </row>
    <row r="563" spans="2:3" x14ac:dyDescent="0.25">
      <c r="B563" s="14" t="s">
        <v>98</v>
      </c>
      <c r="C563" s="14">
        <v>127.2</v>
      </c>
    </row>
    <row r="564" spans="2:3" x14ac:dyDescent="0.25">
      <c r="B564" s="14" t="s">
        <v>99</v>
      </c>
      <c r="C564" s="14">
        <v>85.4</v>
      </c>
    </row>
    <row r="565" spans="2:3" x14ac:dyDescent="0.25">
      <c r="B565" s="14" t="s">
        <v>100</v>
      </c>
      <c r="C565" s="14">
        <v>92.5</v>
      </c>
    </row>
    <row r="566" spans="2:3" x14ac:dyDescent="0.25">
      <c r="B566" s="14" t="s">
        <v>86</v>
      </c>
      <c r="C566" s="14">
        <v>109.5</v>
      </c>
    </row>
    <row r="567" spans="2:3" x14ac:dyDescent="0.25">
      <c r="B567" s="14" t="s">
        <v>101</v>
      </c>
      <c r="C567" s="14">
        <v>67.400000000000006</v>
      </c>
    </row>
    <row r="568" spans="2:3" x14ac:dyDescent="0.25">
      <c r="B568" s="14" t="s">
        <v>102</v>
      </c>
      <c r="C568" s="14">
        <v>100.9</v>
      </c>
    </row>
    <row r="569" spans="2:3" x14ac:dyDescent="0.25">
      <c r="B569" s="14" t="s">
        <v>103</v>
      </c>
      <c r="C569" s="14">
        <v>89.5</v>
      </c>
    </row>
    <row r="570" spans="2:3" x14ac:dyDescent="0.25">
      <c r="B570" s="14" t="s">
        <v>104</v>
      </c>
      <c r="C570" s="14">
        <v>72.8</v>
      </c>
    </row>
    <row r="571" spans="2:3" x14ac:dyDescent="0.25">
      <c r="B571" s="14" t="s">
        <v>105</v>
      </c>
      <c r="C571" s="14">
        <v>64.5</v>
      </c>
    </row>
    <row r="572" spans="2:3" x14ac:dyDescent="0.25">
      <c r="B572" s="14" t="s">
        <v>106</v>
      </c>
      <c r="C572" s="14">
        <v>125.9</v>
      </c>
    </row>
    <row r="573" spans="2:3" x14ac:dyDescent="0.25">
      <c r="B573" s="14" t="s">
        <v>107</v>
      </c>
      <c r="C573" s="14">
        <v>63</v>
      </c>
    </row>
    <row r="574" spans="2:3" x14ac:dyDescent="0.25">
      <c r="B574" s="14" t="s">
        <v>108</v>
      </c>
      <c r="C574" s="14">
        <v>81.7</v>
      </c>
    </row>
    <row r="575" spans="2:3" x14ac:dyDescent="0.25">
      <c r="B575" s="14" t="s">
        <v>87</v>
      </c>
      <c r="C575" s="14">
        <v>112.1</v>
      </c>
    </row>
    <row r="576" spans="2:3" x14ac:dyDescent="0.25">
      <c r="B576" s="14" t="s">
        <v>109</v>
      </c>
      <c r="C576" s="14">
        <v>108.6</v>
      </c>
    </row>
    <row r="577" spans="2:3" x14ac:dyDescent="0.25">
      <c r="B577" s="14" t="s">
        <v>110</v>
      </c>
      <c r="C577" s="14">
        <v>56.7</v>
      </c>
    </row>
    <row r="578" spans="2:3" x14ac:dyDescent="0.25">
      <c r="B578" s="14" t="s">
        <v>111</v>
      </c>
      <c r="C578" s="14">
        <v>86</v>
      </c>
    </row>
    <row r="579" spans="2:3" x14ac:dyDescent="0.25">
      <c r="B579" s="14" t="s">
        <v>112</v>
      </c>
      <c r="C579" s="14">
        <v>52.6</v>
      </c>
    </row>
    <row r="580" spans="2:3" x14ac:dyDescent="0.25">
      <c r="B580" s="14" t="s">
        <v>113</v>
      </c>
      <c r="C580" s="14">
        <v>83.8</v>
      </c>
    </row>
    <row r="581" spans="2:3" x14ac:dyDescent="0.25">
      <c r="B581" s="14" t="s">
        <v>114</v>
      </c>
      <c r="C581" s="14">
        <v>69.8</v>
      </c>
    </row>
    <row r="582" spans="2:3" x14ac:dyDescent="0.25">
      <c r="B582" s="14" t="s">
        <v>85</v>
      </c>
      <c r="C582" s="14">
        <v>122.4</v>
      </c>
    </row>
    <row r="583" spans="2:3" x14ac:dyDescent="0.25">
      <c r="B583" s="14" t="s">
        <v>115</v>
      </c>
      <c r="C583" s="14">
        <v>125.5</v>
      </c>
    </row>
    <row r="584" spans="2:3" x14ac:dyDescent="0.25">
      <c r="B584" s="14" t="s">
        <v>116</v>
      </c>
      <c r="C584" s="14">
        <v>116.4</v>
      </c>
    </row>
    <row r="585" spans="2:3" x14ac:dyDescent="0.25">
      <c r="B585" s="14" t="s">
        <v>117</v>
      </c>
      <c r="C585" s="14">
        <v>166.1</v>
      </c>
    </row>
    <row r="586" spans="2:3" x14ac:dyDescent="0.25">
      <c r="B586" s="14" t="s">
        <v>118</v>
      </c>
      <c r="C586" s="32" t="s">
        <v>119</v>
      </c>
    </row>
    <row r="587" spans="2:3" x14ac:dyDescent="0.25">
      <c r="B587" s="14" t="s">
        <v>120</v>
      </c>
      <c r="C587" s="14">
        <v>149.5</v>
      </c>
    </row>
    <row r="588" spans="2:3" x14ac:dyDescent="0.25">
      <c r="B588" s="14" t="s">
        <v>121</v>
      </c>
      <c r="C588" s="14">
        <v>159.9</v>
      </c>
    </row>
    <row r="589" spans="2:3" x14ac:dyDescent="0.25">
      <c r="B589" s="14" t="s">
        <v>122</v>
      </c>
      <c r="C589" s="14">
        <v>55.6</v>
      </c>
    </row>
    <row r="590" spans="2:3" x14ac:dyDescent="0.25">
      <c r="B590" s="14" t="s">
        <v>123</v>
      </c>
      <c r="C590" s="14">
        <v>47.9</v>
      </c>
    </row>
    <row r="591" spans="2:3" x14ac:dyDescent="0.25">
      <c r="B591" s="14" t="s">
        <v>124</v>
      </c>
      <c r="C591" s="14">
        <v>49.8</v>
      </c>
    </row>
    <row r="592" spans="2:3" x14ac:dyDescent="0.25">
      <c r="B592" s="14" t="s">
        <v>125</v>
      </c>
      <c r="C592" s="14">
        <v>51.9</v>
      </c>
    </row>
    <row r="593" spans="2:3" x14ac:dyDescent="0.25">
      <c r="B593" s="14" t="s">
        <v>126</v>
      </c>
      <c r="C593" s="14">
        <v>52.7</v>
      </c>
    </row>
    <row r="594" spans="2:3" x14ac:dyDescent="0.25">
      <c r="B594" s="14" t="s">
        <v>127</v>
      </c>
      <c r="C594" s="14">
        <v>52</v>
      </c>
    </row>
    <row r="595" spans="2:3" x14ac:dyDescent="0.25">
      <c r="B595" s="14" t="s">
        <v>128</v>
      </c>
      <c r="C595" s="14">
        <v>52.1</v>
      </c>
    </row>
    <row r="596" spans="2:3" x14ac:dyDescent="0.25">
      <c r="B596" s="14" t="s">
        <v>129</v>
      </c>
      <c r="C596" s="14">
        <v>114.4</v>
      </c>
    </row>
    <row r="597" spans="2:3" x14ac:dyDescent="0.25">
      <c r="B597" s="14" t="s">
        <v>130</v>
      </c>
      <c r="C597" s="14">
        <v>110.8</v>
      </c>
    </row>
  </sheetData>
  <sheetProtection password="D792" sheet="1" selectLockedCells="1"/>
  <protectedRanges>
    <protectedRange sqref="B2 D2:F3 H2" name="Headings"/>
  </protectedRanges>
  <mergeCells count="9">
    <mergeCell ref="F25:F26"/>
    <mergeCell ref="G25:G26"/>
    <mergeCell ref="B42:G42"/>
    <mergeCell ref="D2:F2"/>
    <mergeCell ref="D3:F3"/>
    <mergeCell ref="B9:G9"/>
    <mergeCell ref="E19:F19"/>
    <mergeCell ref="E20:F20"/>
    <mergeCell ref="B22:G22"/>
  </mergeCells>
  <conditionalFormatting sqref="C6 F6 I10 I14:I18 F16:F18 I23 C34 I27:I31 I39 I43 C52:C53 C59 I59">
    <cfRule type="expression" dxfId="79" priority="10">
      <formula>$H$2="£ Sterling"</formula>
    </cfRule>
  </conditionalFormatting>
  <conditionalFormatting sqref="C6 F6 I10 I14:I18 F16:F18 I23 C34 I27:I31 I39 I43 C52:C53 C59 I59">
    <cfRule type="expression" dxfId="78" priority="9">
      <formula>$H$2="$ US Dollars"</formula>
    </cfRule>
  </conditionalFormatting>
  <conditionalFormatting sqref="C6 F6 I10 I14:I18 F16:F18 I23 C34 I27:I31 I39 I43 C52:C53 C59 I59">
    <cfRule type="expression" dxfId="77" priority="8">
      <formula>$H$2="€ Euros"</formula>
    </cfRule>
  </conditionalFormatting>
  <conditionalFormatting sqref="F15 C36 C39 C51 C60">
    <cfRule type="expression" dxfId="76" priority="5">
      <formula>$H$2="$ US Dollars"</formula>
    </cfRule>
    <cfRule type="expression" dxfId="75" priority="6">
      <formula>$H$2="£ Sterling"</formula>
    </cfRule>
    <cfRule type="expression" dxfId="74" priority="7">
      <formula>$H$2="€ Euros"</formula>
    </cfRule>
  </conditionalFormatting>
  <conditionalFormatting sqref="L12">
    <cfRule type="expression" dxfId="73" priority="4">
      <formula>$H$2="€ Euros"</formula>
    </cfRule>
  </conditionalFormatting>
  <conditionalFormatting sqref="C7">
    <cfRule type="expression" dxfId="72" priority="3">
      <formula>$H$2="£ Sterling"</formula>
    </cfRule>
  </conditionalFormatting>
  <conditionalFormatting sqref="C7">
    <cfRule type="expression" dxfId="71" priority="2">
      <formula>$H$2="$ US Dollars"</formula>
    </cfRule>
  </conditionalFormatting>
  <conditionalFormatting sqref="C7">
    <cfRule type="expression" dxfId="70" priority="1">
      <formula>$H$2="€ Euros"</formula>
    </cfRule>
  </conditionalFormatting>
  <dataValidations count="21">
    <dataValidation allowBlank="1" showInputMessage="1" showErrorMessage="1" prompt="Include any equipment (capital) upgrade costs during lifetime of facility (but not annual maintenance contracts, licenses, etc.)" sqref="C7" xr:uid="{91F81CAF-3EB7-40AD-ADE9-80B680505E57}"/>
    <dataValidation allowBlank="1" showInputMessage="1" showErrorMessage="1" prompt="Other costs are costs of procurement, making a room ready e.g., decorating, wiring, etc._x000a_" sqref="F6" xr:uid="{C07CD7D0-B914-4856-B872-F7402618BF34}"/>
    <dataValidation allowBlank="1" showInputMessage="1" showErrorMessage="1" prompt="Capital equipment costs include digitisation equipment, furniture, computers, etc." sqref="C6" xr:uid="{86EB54F2-8457-4205-B76D-249B69F8617B}"/>
    <dataValidation allowBlank="1" showErrorMessage="1" sqref="B19" xr:uid="{C441FD2A-1A2B-460C-BC49-31BB0EC3CC1F}"/>
    <dataValidation allowBlank="1" showInputMessage="1" showErrorMessage="1" prompt="If applicable, include costs of any upgrade(s) divided over the lifetimeof the digitisation facility e.g., if upgrade cost is €10,000 and lifetime is 5 years, enter €2,000." sqref="C18" xr:uid="{02F5060B-2D4C-49B6-A745-AC7EA97578DB}"/>
    <dataValidation type="list" allowBlank="1" showInputMessage="1" showErrorMessage="1" prompt="Choose currency to use from dropdown list_x000a_" sqref="H2:H3" xr:uid="{B4661673-6BC1-4E7E-BB1A-D37C2E6D52C9}">
      <formula1>$B$541:$B$544</formula1>
    </dataValidation>
    <dataValidation type="list" allowBlank="1" showInputMessage="1" prompt="Select your institution from the drop-down list, or enter if not listed" sqref="B2:B3" xr:uid="{766D6A69-352B-47F2-8804-2A6DA3E303A3}">
      <formula1>$U$520:$U$527</formula1>
    </dataValidation>
    <dataValidation type="list" allowBlank="1" showInputMessage="1" showErrorMessage="1" prompt="Choose specimen category" sqref="B27" xr:uid="{71E9F6CC-4BD4-4B1C-8555-ACE7DFA7D71F}">
      <formula1>$B$520:$B$530</formula1>
    </dataValidation>
    <dataValidation type="list" errorStyle="information" allowBlank="1" showInputMessage="1" prompt="Choose typical batch size (or enter own value)" sqref="C31" xr:uid="{DC5C5F41-B029-41D1-9C70-233C8F720564}">
      <formula1>$H$520:$H$530</formula1>
    </dataValidation>
    <dataValidation type="list" allowBlank="1" showInputMessage="1" showErrorMessage="1" prompt="Choose unit of digitisation" sqref="B30" xr:uid="{BD1CAFD5-B46B-432D-8C12-930555A31CB9}">
      <formula1>$E$520:$E$524</formula1>
    </dataValidation>
    <dataValidation type="list" allowBlank="1" showInputMessage="1" showErrorMessage="1" prompt="Select number of staff needed for digitisation (additional to number of fixed staff, above)" sqref="C33" xr:uid="{2C83A063-5C5C-4804-B274-CF7BEA31874E}">
      <formula1>$P$520:$P$532</formula1>
    </dataValidation>
    <dataValidation type="list" allowBlank="1" showInputMessage="1" showErrorMessage="1" prompt="Choose type of process" sqref="B29" xr:uid="{D9DEA297-1306-49CB-B3E7-855BE3ABDEE4}">
      <formula1>$M$520:$M$523</formula1>
    </dataValidation>
    <dataValidation type="list" allowBlank="1" showInputMessage="1" showErrorMessage="1" prompt="Choose type of workflow" sqref="B28" xr:uid="{5B65BA5A-2344-4F4F-95ED-FBA2F4A69F25}">
      <formula1>$J$520:$J$523</formula1>
    </dataValidation>
    <dataValidation allowBlank="1" showInputMessage="1" showErrorMessage="1" prompt="This cell not currently used" sqref="C17" xr:uid="{EBB497E2-A7EA-4FA5-97C9-029E32B0D90E}"/>
    <dataValidation allowBlank="1" showInputMessage="1" showErrorMessage="1" prompt="Enter in minutes. Add up for all persons involved. See Instructions sheet for explanation of the tasks_x000a_" sqref="F27:F31" xr:uid="{8EBBAF54-B9F9-4580-A4FA-4D91EA209AC6}"/>
    <dataValidation allowBlank="1" showInputMessage="1" showErrorMessage="1" prompt="Only enter a value here if you do not know the split across the above 5 task clusters" sqref="F34" xr:uid="{5DD86DE3-009D-4C05-86A3-5CA313DD8C29}"/>
    <dataValidation allowBlank="1" showInputMessage="1" showErrorMessage="1" prompt="Number of hours in working week (change if necessary)" sqref="C35" xr:uid="{EA1B55CE-D230-4425-9955-46C846E66F35}"/>
    <dataValidation allowBlank="1" showInputMessage="1" showErrorMessage="1" prompt="Enter monthly average gross salary for number of staff selected above" sqref="C34" xr:uid="{BF12E466-8FE6-4608-86E2-EC75A8830DDF}"/>
    <dataValidation allowBlank="1" showInputMessage="1" showErrorMessage="1" prompt="Enter room area of your digitisation facility" sqref="C15" xr:uid="{94392389-1DBE-432F-960A-35B403CD69E1}"/>
    <dataValidation type="decimal" allowBlank="1" showInputMessage="1" showErrorMessage="1" prompt="Enter depreciation period in years (straight line depreciation will be used)" sqref="C14" xr:uid="{719AF36E-CE25-4006-B0DC-C739DC19818F}">
      <formula1>1</formula1>
      <formula2>7</formula2>
    </dataValidation>
    <dataValidation type="decimal" showInputMessage="1" showErrorMessage="1" prompt="Enter value between 0 and 20 for number of fixed staff supporting the facility i.e., even if no digitisation is occurring. Part FTE allowed." sqref="C16" xr:uid="{DF6998A8-E875-42D6-8DAC-8A71643C0482}">
      <formula1>0</formula1>
      <formula2>20</formula2>
    </dataValidation>
  </dataValidations>
  <hyperlinks>
    <hyperlink ref="B553" r:id="rId1" xr:uid="{73DA97E0-31AB-4CAD-BBA3-26E8BB060047}"/>
  </hyperlinks>
  <pageMargins left="0.7" right="0.7" top="0.75" bottom="0.75" header="0.3" footer="0.3"/>
  <pageSetup paperSize="9" orientation="portrait" horizontalDpi="4294967293"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0E732-2548-43D2-B3EA-602B6B840B62}">
  <dimension ref="A2:AV597"/>
  <sheetViews>
    <sheetView topLeftCell="A7" workbookViewId="0">
      <selection activeCell="F18" sqref="F18"/>
    </sheetView>
  </sheetViews>
  <sheetFormatPr defaultColWidth="8.7109375" defaultRowHeight="15" x14ac:dyDescent="0.25"/>
  <cols>
    <col min="1" max="1" width="1.5703125" style="14" customWidth="1"/>
    <col min="2" max="2" width="55.5703125" style="14" bestFit="1" customWidth="1"/>
    <col min="3" max="3" width="10.28515625" style="14" bestFit="1" customWidth="1"/>
    <col min="4" max="4" width="8.7109375" style="14"/>
    <col min="5" max="5" width="29.85546875" style="32" customWidth="1"/>
    <col min="6" max="6" width="10.28515625" style="14" bestFit="1" customWidth="1"/>
    <col min="7" max="7" width="8.7109375" style="14"/>
    <col min="8" max="8" width="24.85546875" style="14" bestFit="1" customWidth="1"/>
    <col min="9" max="9" width="11.42578125" style="14" bestFit="1" customWidth="1"/>
    <col min="10" max="10" width="1.140625" style="14" customWidth="1"/>
    <col min="11" max="16384" width="8.7109375" style="14"/>
  </cols>
  <sheetData>
    <row r="2" spans="1:14" ht="42.6" customHeight="1" x14ac:dyDescent="0.25">
      <c r="B2" s="1" t="s">
        <v>146</v>
      </c>
      <c r="C2" s="57" t="str">
        <f>_xlfn.SWITCH($B$2, "APM","Belgium","LUOMUS","Finland","MNHN","France","Naturalis","Netherlands","NHMUK","UK","RBGK","UK","UTARTU","Estonia","- -")</f>
        <v>- -</v>
      </c>
      <c r="D2" s="85" t="s">
        <v>147</v>
      </c>
      <c r="E2" s="86"/>
      <c r="F2" s="87"/>
      <c r="H2" s="80" t="s">
        <v>76</v>
      </c>
    </row>
    <row r="3" spans="1:14" ht="42.6" customHeight="1" x14ac:dyDescent="0.25">
      <c r="C3" s="57"/>
      <c r="D3" s="88"/>
      <c r="E3" s="89"/>
      <c r="F3" s="90"/>
    </row>
    <row r="5" spans="1:14" x14ac:dyDescent="0.25">
      <c r="A5" s="9"/>
      <c r="B5" s="15" t="s">
        <v>30</v>
      </c>
      <c r="C5" s="16"/>
      <c r="D5" s="16"/>
      <c r="E5" s="17"/>
      <c r="F5" s="16"/>
      <c r="G5" s="16"/>
      <c r="H5" s="16"/>
      <c r="I5" s="18"/>
    </row>
    <row r="6" spans="1:14" ht="14.45" customHeight="1" x14ac:dyDescent="0.25">
      <c r="A6" s="48"/>
      <c r="B6" s="36" t="s">
        <v>22</v>
      </c>
      <c r="C6" s="2">
        <v>20000</v>
      </c>
      <c r="D6" s="20"/>
      <c r="E6" s="49" t="s">
        <v>54</v>
      </c>
      <c r="F6" s="2"/>
      <c r="G6" s="20"/>
      <c r="H6" s="20"/>
      <c r="I6" s="22"/>
    </row>
    <row r="7" spans="1:14" ht="14.45" customHeight="1" x14ac:dyDescent="0.25">
      <c r="A7" s="9"/>
      <c r="B7" s="36" t="s">
        <v>140</v>
      </c>
      <c r="C7" s="2"/>
      <c r="D7" s="20"/>
      <c r="E7" s="20"/>
      <c r="F7" s="20"/>
      <c r="G7" s="20"/>
      <c r="H7" s="20"/>
      <c r="I7" s="22"/>
    </row>
    <row r="8" spans="1:14" ht="14.45" customHeight="1" x14ac:dyDescent="0.25">
      <c r="A8" s="9"/>
      <c r="B8" s="53" t="s">
        <v>144</v>
      </c>
      <c r="C8" s="20"/>
      <c r="D8" s="20"/>
      <c r="E8" s="20"/>
      <c r="F8" s="20"/>
      <c r="G8" s="20"/>
      <c r="H8" s="20"/>
      <c r="I8" s="22"/>
    </row>
    <row r="9" spans="1:14" ht="45" customHeight="1" x14ac:dyDescent="0.25">
      <c r="A9" s="9"/>
      <c r="B9" s="83" t="s">
        <v>156</v>
      </c>
      <c r="C9" s="84"/>
      <c r="D9" s="84"/>
      <c r="E9" s="84"/>
      <c r="F9" s="84"/>
      <c r="G9" s="84"/>
      <c r="H9" s="29"/>
      <c r="I9" s="35"/>
      <c r="K9" s="70" t="s">
        <v>76</v>
      </c>
      <c r="L9" s="71" t="s">
        <v>91</v>
      </c>
      <c r="M9" s="65"/>
      <c r="N9" s="65"/>
    </row>
    <row r="10" spans="1:14" ht="14.45" customHeight="1" x14ac:dyDescent="0.25">
      <c r="A10" s="9"/>
      <c r="B10" s="10"/>
      <c r="C10" s="11"/>
      <c r="D10" s="11"/>
      <c r="E10" s="11"/>
      <c r="F10" s="11"/>
      <c r="G10" s="12"/>
      <c r="H10" s="46" t="s">
        <v>29</v>
      </c>
      <c r="I10" s="58">
        <f>C6+F6</f>
        <v>20000</v>
      </c>
      <c r="K10" s="68">
        <f>$I$10*VLOOKUP($H$2,$B$547:$C$549,2,)</f>
        <v>20000</v>
      </c>
      <c r="L10" s="68">
        <f>$I$10*VLOOKUP($H$2,$B$547:$C$549,2,)*100/VLOOKUP($C$2,$B$555:$C$597,2,)</f>
        <v>20000</v>
      </c>
    </row>
    <row r="11" spans="1:14" ht="14.45" customHeight="1" x14ac:dyDescent="0.25">
      <c r="A11" s="9"/>
      <c r="B11" s="9"/>
      <c r="C11" s="9"/>
      <c r="D11" s="9"/>
      <c r="E11" s="9"/>
      <c r="F11" s="9"/>
      <c r="G11" s="9"/>
      <c r="H11" s="47"/>
    </row>
    <row r="12" spans="1:14" ht="14.45" customHeight="1" x14ac:dyDescent="0.25">
      <c r="B12" s="15" t="s">
        <v>27</v>
      </c>
      <c r="C12" s="16"/>
      <c r="D12" s="16"/>
      <c r="E12" s="16"/>
      <c r="F12" s="16"/>
      <c r="G12" s="16"/>
      <c r="H12" s="16"/>
      <c r="I12" s="18"/>
    </row>
    <row r="13" spans="1:14" ht="14.45" customHeight="1" x14ac:dyDescent="0.25">
      <c r="B13" s="19"/>
      <c r="C13" s="20"/>
      <c r="D13" s="20"/>
      <c r="E13" s="20"/>
      <c r="F13" s="20"/>
      <c r="G13" s="20"/>
      <c r="H13" s="29" t="s">
        <v>26</v>
      </c>
      <c r="I13" s="22"/>
    </row>
    <row r="14" spans="1:14" x14ac:dyDescent="0.25">
      <c r="A14" s="44"/>
      <c r="B14" s="36" t="s">
        <v>133</v>
      </c>
      <c r="C14" s="2">
        <v>7</v>
      </c>
      <c r="D14" s="20"/>
      <c r="E14" s="21"/>
      <c r="F14" s="20"/>
      <c r="G14" s="20"/>
      <c r="H14" s="20" t="s">
        <v>25</v>
      </c>
      <c r="I14" s="24">
        <f>(C6+C7)/C14</f>
        <v>2857.1428571428573</v>
      </c>
    </row>
    <row r="15" spans="1:14" ht="17.25" x14ac:dyDescent="0.25">
      <c r="B15" s="36" t="s">
        <v>20</v>
      </c>
      <c r="C15" s="3">
        <v>12</v>
      </c>
      <c r="D15" s="20"/>
      <c r="E15" s="21" t="s">
        <v>21</v>
      </c>
      <c r="F15" s="59">
        <v>0</v>
      </c>
      <c r="G15" s="20"/>
      <c r="H15" s="20" t="s">
        <v>60</v>
      </c>
      <c r="I15" s="24">
        <f>C15*F15*12</f>
        <v>0</v>
      </c>
    </row>
    <row r="16" spans="1:14" x14ac:dyDescent="0.25">
      <c r="B16" s="36" t="s">
        <v>142</v>
      </c>
      <c r="C16" s="4">
        <v>0</v>
      </c>
      <c r="D16" s="20"/>
      <c r="E16" s="21" t="s">
        <v>141</v>
      </c>
      <c r="F16" s="2">
        <v>4635</v>
      </c>
      <c r="G16" s="20"/>
      <c r="H16" s="20" t="s">
        <v>61</v>
      </c>
      <c r="I16" s="24">
        <f>C16*F16*12</f>
        <v>0</v>
      </c>
    </row>
    <row r="17" spans="1:48" x14ac:dyDescent="0.25">
      <c r="B17" s="36"/>
      <c r="C17" s="76"/>
      <c r="D17" s="20"/>
      <c r="E17" s="21" t="s">
        <v>51</v>
      </c>
      <c r="F17" s="2">
        <v>1158</v>
      </c>
      <c r="G17" s="20"/>
      <c r="H17" s="20" t="s">
        <v>62</v>
      </c>
      <c r="I17" s="24">
        <f>F17*12</f>
        <v>13896</v>
      </c>
    </row>
    <row r="18" spans="1:48" x14ac:dyDescent="0.25">
      <c r="B18" s="36"/>
      <c r="C18" s="77"/>
      <c r="D18" s="20"/>
      <c r="E18" s="21" t="s">
        <v>53</v>
      </c>
      <c r="F18" s="2"/>
      <c r="G18" s="20"/>
      <c r="H18" s="20" t="s">
        <v>52</v>
      </c>
      <c r="I18" s="24">
        <f>F18*12</f>
        <v>0</v>
      </c>
    </row>
    <row r="19" spans="1:48" x14ac:dyDescent="0.25">
      <c r="B19" s="75"/>
      <c r="C19" s="73"/>
      <c r="D19" s="42"/>
      <c r="E19" s="91" t="s">
        <v>138</v>
      </c>
      <c r="F19" s="91"/>
      <c r="G19" s="20"/>
      <c r="H19" s="20"/>
      <c r="I19" s="22"/>
    </row>
    <row r="20" spans="1:48" x14ac:dyDescent="0.25">
      <c r="B20" s="74"/>
      <c r="C20" s="20"/>
      <c r="D20" s="20"/>
      <c r="E20" s="91" t="s">
        <v>139</v>
      </c>
      <c r="F20" s="91"/>
      <c r="G20" s="20"/>
      <c r="H20" s="26"/>
      <c r="I20" s="22"/>
      <c r="AV20" s="33"/>
    </row>
    <row r="21" spans="1:48" x14ac:dyDescent="0.25">
      <c r="B21" s="53" t="s">
        <v>143</v>
      </c>
      <c r="C21" s="20"/>
      <c r="D21" s="20"/>
      <c r="E21" s="21"/>
      <c r="F21" s="20"/>
      <c r="G21" s="20"/>
      <c r="H21" s="26"/>
      <c r="I21" s="22"/>
      <c r="AV21" s="33"/>
    </row>
    <row r="22" spans="1:48" ht="45" customHeight="1" x14ac:dyDescent="0.25">
      <c r="A22" s="9"/>
      <c r="B22" s="83" t="s">
        <v>156</v>
      </c>
      <c r="C22" s="84"/>
      <c r="D22" s="84"/>
      <c r="E22" s="84"/>
      <c r="F22" s="84"/>
      <c r="G22" s="84"/>
      <c r="H22" s="29"/>
      <c r="I22" s="35"/>
      <c r="K22" s="70" t="s">
        <v>76</v>
      </c>
      <c r="L22" s="71" t="s">
        <v>91</v>
      </c>
    </row>
    <row r="23" spans="1:48" ht="14.45" customHeight="1" x14ac:dyDescent="0.25">
      <c r="A23" s="9"/>
      <c r="B23" s="10"/>
      <c r="C23" s="11"/>
      <c r="D23" s="11"/>
      <c r="E23" s="11"/>
      <c r="F23" s="11"/>
      <c r="G23" s="12"/>
      <c r="H23" s="43" t="s">
        <v>24</v>
      </c>
      <c r="I23" s="58">
        <f>SUM(I14, I15, I16, I17, I18)</f>
        <v>16753.142857142859</v>
      </c>
      <c r="K23" s="68">
        <f>$I$23*VLOOKUP($H$2,$B$547:$C$549,2,)</f>
        <v>16753.142857142859</v>
      </c>
      <c r="L23" s="68">
        <f>$I$23*VLOOKUP($H$2,$B$547:$C$549,2,)*100/VLOOKUP($C$2,$B$555:$C$597,2,)</f>
        <v>16753.142857142859</v>
      </c>
    </row>
    <row r="24" spans="1:48" x14ac:dyDescent="0.25">
      <c r="H24" s="44"/>
      <c r="AV24" s="33"/>
    </row>
    <row r="25" spans="1:48" ht="15.95" customHeight="1" x14ac:dyDescent="0.25">
      <c r="B25" s="15" t="s">
        <v>28</v>
      </c>
      <c r="C25" s="16"/>
      <c r="D25" s="16"/>
      <c r="E25" s="17"/>
      <c r="F25" s="81" t="s">
        <v>131</v>
      </c>
      <c r="G25" s="81" t="s">
        <v>40</v>
      </c>
      <c r="H25" s="16"/>
      <c r="I25" s="18"/>
      <c r="AQ25" s="33"/>
      <c r="AR25" s="33"/>
      <c r="AS25" s="33"/>
      <c r="AT25" s="33"/>
      <c r="AU25" s="33"/>
      <c r="AV25" s="33"/>
    </row>
    <row r="26" spans="1:48" ht="15.95" customHeight="1" x14ac:dyDescent="0.25">
      <c r="B26" s="19" t="s">
        <v>37</v>
      </c>
      <c r="C26" s="20"/>
      <c r="D26" s="29" t="s">
        <v>14</v>
      </c>
      <c r="E26" s="21"/>
      <c r="F26" s="82"/>
      <c r="G26" s="82"/>
      <c r="H26" s="45" t="s">
        <v>32</v>
      </c>
      <c r="I26" s="22"/>
      <c r="AU26" s="33"/>
      <c r="AV26" s="33"/>
    </row>
    <row r="27" spans="1:48" x14ac:dyDescent="0.25">
      <c r="B27" s="5" t="s">
        <v>0</v>
      </c>
      <c r="C27" s="42"/>
      <c r="D27" s="42" t="s">
        <v>44</v>
      </c>
      <c r="E27" s="21"/>
      <c r="F27" s="54"/>
      <c r="G27" s="41">
        <f>F27*C31/60</f>
        <v>0</v>
      </c>
      <c r="H27" s="39"/>
      <c r="I27" s="24">
        <f>G27*C36*C32*12</f>
        <v>0</v>
      </c>
      <c r="AV27" s="33"/>
    </row>
    <row r="28" spans="1:48" ht="15" customHeight="1" x14ac:dyDescent="0.25">
      <c r="B28" s="5" t="s">
        <v>42</v>
      </c>
      <c r="C28" s="42"/>
      <c r="D28" s="42" t="s">
        <v>73</v>
      </c>
      <c r="E28" s="21"/>
      <c r="F28" s="54"/>
      <c r="G28" s="41">
        <f>F28*C31/60</f>
        <v>0</v>
      </c>
      <c r="H28" s="39"/>
      <c r="I28" s="24">
        <f>G28*C36*C32*12</f>
        <v>0</v>
      </c>
    </row>
    <row r="29" spans="1:48" x14ac:dyDescent="0.25">
      <c r="B29" s="5" t="s">
        <v>1</v>
      </c>
      <c r="C29" s="20"/>
      <c r="D29" s="42" t="s">
        <v>45</v>
      </c>
      <c r="E29" s="21"/>
      <c r="F29" s="54"/>
      <c r="G29" s="41">
        <f>F29*C31/60</f>
        <v>0</v>
      </c>
      <c r="H29" s="39"/>
      <c r="I29" s="24">
        <f>G29*C36*C32*12</f>
        <v>0</v>
      </c>
    </row>
    <row r="30" spans="1:48" x14ac:dyDescent="0.25">
      <c r="B30" s="5" t="s">
        <v>15</v>
      </c>
      <c r="C30" s="21"/>
      <c r="D30" s="42" t="s">
        <v>74</v>
      </c>
      <c r="E30" s="21"/>
      <c r="F30" s="54"/>
      <c r="G30" s="41">
        <f>F30*C31/60</f>
        <v>0</v>
      </c>
      <c r="H30" s="39"/>
      <c r="I30" s="24">
        <f>G30*C36*C32*12</f>
        <v>0</v>
      </c>
    </row>
    <row r="31" spans="1:48" x14ac:dyDescent="0.25">
      <c r="B31" s="23" t="s">
        <v>136</v>
      </c>
      <c r="C31" s="7">
        <v>1</v>
      </c>
      <c r="D31" s="42" t="s">
        <v>46</v>
      </c>
      <c r="E31" s="21"/>
      <c r="F31" s="54"/>
      <c r="G31" s="41">
        <f>F31*C31/60</f>
        <v>0</v>
      </c>
      <c r="H31" s="39"/>
      <c r="I31" s="24">
        <f>G31*C36*C32*12</f>
        <v>0</v>
      </c>
    </row>
    <row r="32" spans="1:48" x14ac:dyDescent="0.25">
      <c r="B32" s="23" t="s">
        <v>48</v>
      </c>
      <c r="C32" s="6">
        <v>200</v>
      </c>
      <c r="D32" s="42"/>
      <c r="E32" s="21"/>
      <c r="F32" s="20"/>
      <c r="G32" s="20"/>
      <c r="H32" s="39"/>
      <c r="I32" s="22"/>
    </row>
    <row r="33" spans="1:12" x14ac:dyDescent="0.25">
      <c r="B33" s="23" t="s">
        <v>58</v>
      </c>
      <c r="C33" s="7">
        <v>1</v>
      </c>
      <c r="D33" s="20"/>
      <c r="E33" s="42" t="s">
        <v>47</v>
      </c>
      <c r="F33" s="20"/>
      <c r="G33" s="20"/>
      <c r="H33" s="20"/>
      <c r="I33" s="22"/>
    </row>
    <row r="34" spans="1:12" x14ac:dyDescent="0.25">
      <c r="B34" s="23" t="s">
        <v>23</v>
      </c>
      <c r="C34" s="60">
        <v>4635</v>
      </c>
      <c r="D34" s="21"/>
      <c r="E34" s="21" t="s">
        <v>57</v>
      </c>
      <c r="F34" s="8">
        <v>45</v>
      </c>
      <c r="G34" s="20"/>
      <c r="H34" s="20"/>
      <c r="I34" s="22"/>
    </row>
    <row r="35" spans="1:12" x14ac:dyDescent="0.25">
      <c r="B35" s="23" t="s">
        <v>39</v>
      </c>
      <c r="C35" s="7">
        <v>38</v>
      </c>
      <c r="D35" s="20"/>
      <c r="E35" s="21"/>
      <c r="F35" s="20"/>
      <c r="G35" s="20"/>
      <c r="H35" s="20"/>
      <c r="I35" s="22"/>
    </row>
    <row r="36" spans="1:12" x14ac:dyDescent="0.25">
      <c r="B36" s="36" t="s">
        <v>63</v>
      </c>
      <c r="C36" s="61">
        <f>C33*C34/4.333/C35</f>
        <v>28.149938659249091</v>
      </c>
      <c r="D36" s="20"/>
      <c r="E36" s="21" t="s">
        <v>132</v>
      </c>
      <c r="F36" s="37">
        <f>IF(F34=0,SUM(F27:F31),F34)</f>
        <v>45</v>
      </c>
      <c r="G36" s="38">
        <f>IF(F34=0,F36*C31/60,F34*C31/60)</f>
        <v>0.75</v>
      </c>
      <c r="H36" s="20"/>
      <c r="I36" s="22"/>
    </row>
    <row r="37" spans="1:12" x14ac:dyDescent="0.25">
      <c r="B37" s="36"/>
      <c r="C37" s="39"/>
      <c r="D37" s="20"/>
      <c r="E37" s="40"/>
      <c r="F37" s="26"/>
      <c r="G37" s="26"/>
      <c r="H37" s="20"/>
      <c r="I37" s="22"/>
    </row>
    <row r="38" spans="1:12" x14ac:dyDescent="0.25">
      <c r="B38" s="23" t="s">
        <v>134</v>
      </c>
      <c r="C38" s="39"/>
      <c r="D38" s="20"/>
      <c r="E38" s="40"/>
      <c r="F38" s="26"/>
      <c r="G38" s="26"/>
      <c r="H38" s="20"/>
      <c r="I38" s="22"/>
    </row>
    <row r="39" spans="1:12" x14ac:dyDescent="0.25">
      <c r="B39" s="23" t="s">
        <v>135</v>
      </c>
      <c r="C39" s="62"/>
      <c r="D39" s="20"/>
      <c r="E39" s="21"/>
      <c r="F39" s="20"/>
      <c r="G39" s="41"/>
      <c r="H39" s="20" t="s">
        <v>56</v>
      </c>
      <c r="I39" s="24">
        <f>C39*C32*12</f>
        <v>0</v>
      </c>
    </row>
    <row r="40" spans="1:12" ht="14.45" customHeight="1" x14ac:dyDescent="0.25">
      <c r="B40" s="23"/>
      <c r="C40" s="39"/>
      <c r="D40" s="20"/>
      <c r="E40" s="21"/>
      <c r="F40" s="20"/>
      <c r="G40" s="41"/>
      <c r="H40" s="20"/>
      <c r="I40" s="35"/>
    </row>
    <row r="41" spans="1:12" ht="14.45" customHeight="1" x14ac:dyDescent="0.25">
      <c r="B41" s="50" t="s">
        <v>72</v>
      </c>
      <c r="C41" s="51"/>
      <c r="D41" s="51"/>
      <c r="E41" s="51"/>
      <c r="F41" s="51"/>
      <c r="G41" s="52"/>
      <c r="H41" s="20"/>
      <c r="I41" s="35"/>
    </row>
    <row r="42" spans="1:12" ht="45" customHeight="1" x14ac:dyDescent="0.25">
      <c r="A42" s="9"/>
      <c r="B42" s="83" t="s">
        <v>158</v>
      </c>
      <c r="C42" s="84"/>
      <c r="D42" s="84"/>
      <c r="E42" s="84"/>
      <c r="F42" s="84"/>
      <c r="G42" s="84"/>
      <c r="H42" s="29"/>
      <c r="I42" s="35"/>
      <c r="K42" s="70" t="s">
        <v>76</v>
      </c>
      <c r="L42" s="71" t="s">
        <v>91</v>
      </c>
    </row>
    <row r="43" spans="1:12" x14ac:dyDescent="0.25">
      <c r="A43" s="9"/>
      <c r="B43" s="10"/>
      <c r="C43" s="11"/>
      <c r="D43" s="11"/>
      <c r="E43" s="11"/>
      <c r="F43" s="11"/>
      <c r="G43" s="12"/>
      <c r="H43" s="13" t="s">
        <v>55</v>
      </c>
      <c r="I43" s="58">
        <f>IF(F34=0, SUM(I27:I31, I39), (G36*C36*C32*12)+I39)</f>
        <v>50669.889586648365</v>
      </c>
      <c r="K43" s="68">
        <f>$I$43*VLOOKUP($H$2,$B$547:$C$549,2,)</f>
        <v>50669.889586648365</v>
      </c>
      <c r="L43" s="68">
        <f>$I$43*VLOOKUP($H$2,$B$547:$C$549,2,)*100/VLOOKUP($C$2,$B$555:$C$597,2,)</f>
        <v>50669.889586648365</v>
      </c>
    </row>
    <row r="49" spans="2:12" x14ac:dyDescent="0.25">
      <c r="B49" s="15" t="s">
        <v>66</v>
      </c>
      <c r="C49" s="16"/>
      <c r="D49" s="16"/>
      <c r="E49" s="17"/>
      <c r="F49" s="16"/>
      <c r="G49" s="16"/>
      <c r="H49" s="16"/>
      <c r="I49" s="18"/>
    </row>
    <row r="50" spans="2:12" x14ac:dyDescent="0.25">
      <c r="B50" s="19"/>
      <c r="C50" s="20"/>
      <c r="D50" s="20"/>
      <c r="E50" s="21"/>
      <c r="F50" s="20"/>
      <c r="G50" s="20"/>
      <c r="H50" s="20"/>
      <c r="I50" s="22"/>
    </row>
    <row r="51" spans="2:12" x14ac:dyDescent="0.25">
      <c r="B51" s="19" t="s">
        <v>64</v>
      </c>
      <c r="C51" s="24">
        <f>C36+(C16*F16*12/52/C35)</f>
        <v>28.149938659249091</v>
      </c>
      <c r="D51" s="20"/>
      <c r="E51" s="21"/>
      <c r="F51" s="20"/>
      <c r="G51" s="20"/>
      <c r="H51" s="20"/>
      <c r="I51" s="22"/>
    </row>
    <row r="52" spans="2:12" x14ac:dyDescent="0.25">
      <c r="B52" s="19" t="s">
        <v>65</v>
      </c>
      <c r="C52" s="24">
        <f>I23</f>
        <v>16753.142857142859</v>
      </c>
      <c r="D52" s="20"/>
      <c r="E52" s="21"/>
      <c r="F52" s="20"/>
      <c r="G52" s="20"/>
      <c r="H52" s="20"/>
      <c r="I52" s="22"/>
    </row>
    <row r="53" spans="2:12" x14ac:dyDescent="0.25">
      <c r="B53" s="23" t="s">
        <v>67</v>
      </c>
      <c r="C53" s="24">
        <f>G36*C36+C39</f>
        <v>21.112453994436819</v>
      </c>
      <c r="D53" s="20"/>
      <c r="E53" s="20"/>
      <c r="F53" s="20"/>
      <c r="G53" s="20"/>
      <c r="H53" s="20"/>
      <c r="I53" s="22"/>
    </row>
    <row r="54" spans="2:12" x14ac:dyDescent="0.25">
      <c r="B54" s="19"/>
      <c r="C54" s="20"/>
      <c r="D54" s="20"/>
      <c r="E54" s="21"/>
      <c r="F54" s="20"/>
      <c r="G54" s="20"/>
      <c r="H54" s="20"/>
      <c r="I54" s="22"/>
    </row>
    <row r="55" spans="2:12" x14ac:dyDescent="0.25">
      <c r="B55" s="19" t="s">
        <v>68</v>
      </c>
      <c r="C55" s="24">
        <f>C32*12</f>
        <v>2400</v>
      </c>
      <c r="D55" s="20"/>
      <c r="E55" s="21"/>
      <c r="F55" s="20"/>
      <c r="G55" s="20"/>
      <c r="H55" s="20"/>
      <c r="I55" s="22"/>
    </row>
    <row r="56" spans="2:12" x14ac:dyDescent="0.25">
      <c r="B56" s="19" t="s">
        <v>69</v>
      </c>
      <c r="C56" s="24">
        <f>C55*C31</f>
        <v>2400</v>
      </c>
      <c r="D56" s="20"/>
      <c r="E56" s="21"/>
      <c r="F56" s="20"/>
      <c r="G56" s="20"/>
      <c r="H56" s="20"/>
      <c r="I56" s="22"/>
    </row>
    <row r="57" spans="2:12" x14ac:dyDescent="0.25">
      <c r="B57" s="19"/>
      <c r="C57" s="25"/>
      <c r="D57" s="20"/>
      <c r="E57" s="21"/>
      <c r="F57" s="20"/>
      <c r="G57" s="20"/>
      <c r="H57" s="20"/>
      <c r="I57" s="22"/>
      <c r="K57" s="70" t="s">
        <v>76</v>
      </c>
      <c r="L57" s="71" t="s">
        <v>91</v>
      </c>
    </row>
    <row r="58" spans="2:12" x14ac:dyDescent="0.25">
      <c r="B58" s="19"/>
      <c r="C58" s="20"/>
      <c r="D58" s="20"/>
      <c r="E58" s="21"/>
      <c r="F58" s="20"/>
      <c r="G58" s="20"/>
      <c r="H58" s="26"/>
      <c r="I58" s="27"/>
    </row>
    <row r="59" spans="2:12" x14ac:dyDescent="0.25">
      <c r="B59" s="28" t="s">
        <v>71</v>
      </c>
      <c r="C59" s="58">
        <f>C53+(C52/C55)</f>
        <v>28.092930184913008</v>
      </c>
      <c r="D59" s="20"/>
      <c r="E59" s="21"/>
      <c r="F59" s="20"/>
      <c r="G59" s="20"/>
      <c r="H59" s="29" t="s">
        <v>59</v>
      </c>
      <c r="I59" s="58">
        <f>C53*C55+C52</f>
        <v>67423.03244379122</v>
      </c>
      <c r="K59" s="68">
        <f>$I$59*VLOOKUP($H$2,$B$547:$C$549,2,)</f>
        <v>67423.03244379122</v>
      </c>
      <c r="L59" s="68">
        <f>$I$59*VLOOKUP($H$2,$B$547:$C$549,2,)*100/VLOOKUP($C$2,$B$555:$C$597,2,)</f>
        <v>67423.03244379122</v>
      </c>
    </row>
    <row r="60" spans="2:12" x14ac:dyDescent="0.25">
      <c r="B60" s="30" t="s">
        <v>70</v>
      </c>
      <c r="C60" s="58">
        <f>C59/C31</f>
        <v>28.092930184913008</v>
      </c>
      <c r="D60" s="12"/>
      <c r="E60" s="31"/>
      <c r="F60" s="12"/>
      <c r="G60" s="12"/>
      <c r="H60" s="12"/>
      <c r="I60" s="27"/>
    </row>
    <row r="62" spans="2:12" x14ac:dyDescent="0.25">
      <c r="C62" s="66" t="s">
        <v>76</v>
      </c>
      <c r="D62" s="67" t="s">
        <v>91</v>
      </c>
    </row>
    <row r="63" spans="2:12" x14ac:dyDescent="0.25">
      <c r="B63" s="44" t="s">
        <v>71</v>
      </c>
      <c r="C63" s="68">
        <f>$C$59*VLOOKUP($H$2,$B$547:$C$549,2,)</f>
        <v>28.092930184913008</v>
      </c>
      <c r="D63" s="68">
        <f>$C$59*VLOOKUP($H$2,$B$547:$C$549,2,)*100/VLOOKUP($C$2,$B$555:$C$597,2,)</f>
        <v>28.092930184913008</v>
      </c>
    </row>
    <row r="64" spans="2:12" x14ac:dyDescent="0.25">
      <c r="B64" s="44" t="s">
        <v>70</v>
      </c>
      <c r="C64" s="69">
        <f>$C$60*VLOOKUP($H$2,$B$547:$C$549,2,)</f>
        <v>28.092930184913008</v>
      </c>
      <c r="D64" s="69">
        <f>$C$60*VLOOKUP($H$2,$B$547:$C$549,2,)*100/VLOOKUP($C$2,$B$555:$C$597,2,)</f>
        <v>28.092930184913008</v>
      </c>
    </row>
    <row r="517" spans="2:21" x14ac:dyDescent="0.25">
      <c r="B517" s="14" t="s">
        <v>50</v>
      </c>
    </row>
    <row r="520" spans="2:21" x14ac:dyDescent="0.25">
      <c r="B520" s="14" t="s">
        <v>31</v>
      </c>
      <c r="E520" s="33" t="s">
        <v>33</v>
      </c>
      <c r="H520" s="33" t="s">
        <v>34</v>
      </c>
      <c r="J520" s="33" t="s">
        <v>35</v>
      </c>
      <c r="M520" s="33" t="s">
        <v>36</v>
      </c>
      <c r="P520" s="14" t="s">
        <v>38</v>
      </c>
      <c r="Q520" s="33"/>
      <c r="U520" s="14" t="s">
        <v>49</v>
      </c>
    </row>
    <row r="521" spans="2:21" x14ac:dyDescent="0.25">
      <c r="B521" s="34" t="s">
        <v>137</v>
      </c>
      <c r="E521" s="33" t="s">
        <v>15</v>
      </c>
      <c r="H521" s="33">
        <v>1</v>
      </c>
      <c r="J521" s="33" t="s">
        <v>41</v>
      </c>
      <c r="M521" s="33" t="s">
        <v>1</v>
      </c>
      <c r="P521" s="14">
        <v>0</v>
      </c>
      <c r="U521" s="14" t="s">
        <v>10</v>
      </c>
    </row>
    <row r="522" spans="2:21" x14ac:dyDescent="0.25">
      <c r="B522" s="34" t="s">
        <v>18</v>
      </c>
      <c r="E522" s="33" t="s">
        <v>16</v>
      </c>
      <c r="H522" s="33">
        <v>10</v>
      </c>
      <c r="J522" s="33" t="s">
        <v>42</v>
      </c>
      <c r="M522" s="33" t="s">
        <v>2</v>
      </c>
      <c r="P522" s="14">
        <v>1</v>
      </c>
      <c r="U522" s="14" t="s">
        <v>12</v>
      </c>
    </row>
    <row r="523" spans="2:21" x14ac:dyDescent="0.25">
      <c r="B523" s="34" t="s">
        <v>4</v>
      </c>
      <c r="E523" s="33" t="s">
        <v>17</v>
      </c>
      <c r="H523" s="33">
        <v>50</v>
      </c>
      <c r="J523" s="33" t="s">
        <v>43</v>
      </c>
      <c r="M523" s="33" t="s">
        <v>3</v>
      </c>
      <c r="P523" s="14">
        <v>2</v>
      </c>
      <c r="U523" s="14" t="s">
        <v>80</v>
      </c>
    </row>
    <row r="524" spans="2:21" x14ac:dyDescent="0.25">
      <c r="B524" s="34" t="s">
        <v>5</v>
      </c>
      <c r="E524" s="33" t="s">
        <v>0</v>
      </c>
      <c r="H524" s="33">
        <v>100</v>
      </c>
      <c r="P524" s="14">
        <v>3</v>
      </c>
      <c r="U524" s="14" t="s">
        <v>11</v>
      </c>
    </row>
    <row r="525" spans="2:21" x14ac:dyDescent="0.25">
      <c r="B525" s="34" t="s">
        <v>6</v>
      </c>
      <c r="E525" s="14"/>
      <c r="H525" s="33">
        <v>500</v>
      </c>
      <c r="P525" s="14">
        <v>4</v>
      </c>
      <c r="U525" s="14" t="s">
        <v>82</v>
      </c>
    </row>
    <row r="526" spans="2:21" x14ac:dyDescent="0.25">
      <c r="B526" s="34" t="s">
        <v>9</v>
      </c>
      <c r="E526" s="14"/>
      <c r="H526" s="33">
        <v>1000</v>
      </c>
      <c r="P526" s="14">
        <v>5</v>
      </c>
      <c r="U526" s="14" t="s">
        <v>81</v>
      </c>
    </row>
    <row r="527" spans="2:21" x14ac:dyDescent="0.25">
      <c r="B527" s="34" t="s">
        <v>7</v>
      </c>
      <c r="E527" s="14"/>
      <c r="H527" s="33">
        <v>5000</v>
      </c>
      <c r="P527" s="14">
        <v>6</v>
      </c>
      <c r="U527" s="14" t="s">
        <v>13</v>
      </c>
    </row>
    <row r="528" spans="2:21" x14ac:dyDescent="0.25">
      <c r="B528" s="34" t="s">
        <v>8</v>
      </c>
      <c r="E528" s="14"/>
      <c r="H528" s="33">
        <v>10000</v>
      </c>
      <c r="P528" s="14">
        <v>7</v>
      </c>
    </row>
    <row r="529" spans="2:16" x14ac:dyDescent="0.25">
      <c r="B529" s="34" t="s">
        <v>19</v>
      </c>
      <c r="E529" s="14"/>
      <c r="H529" s="33">
        <v>50000</v>
      </c>
      <c r="P529" s="14">
        <v>8</v>
      </c>
    </row>
    <row r="530" spans="2:16" x14ac:dyDescent="0.25">
      <c r="B530" s="34" t="s">
        <v>0</v>
      </c>
      <c r="E530" s="14"/>
      <c r="H530" s="33">
        <v>100000</v>
      </c>
      <c r="P530" s="14">
        <v>9</v>
      </c>
    </row>
    <row r="531" spans="2:16" x14ac:dyDescent="0.25">
      <c r="E531" s="14"/>
      <c r="H531" s="33"/>
      <c r="P531" s="14">
        <v>10</v>
      </c>
    </row>
    <row r="532" spans="2:16" x14ac:dyDescent="0.25">
      <c r="E532" s="14"/>
    </row>
    <row r="533" spans="2:16" x14ac:dyDescent="0.25">
      <c r="E533" s="14"/>
    </row>
    <row r="539" spans="2:16" x14ac:dyDescent="0.25">
      <c r="B539" s="14" t="s">
        <v>78</v>
      </c>
    </row>
    <row r="541" spans="2:16" x14ac:dyDescent="0.25">
      <c r="B541" s="14" t="s">
        <v>83</v>
      </c>
    </row>
    <row r="542" spans="2:16" x14ac:dyDescent="0.25">
      <c r="B542" s="34" t="s">
        <v>76</v>
      </c>
      <c r="E542" s="34"/>
      <c r="F542" s="34"/>
      <c r="G542" s="34"/>
      <c r="H542" s="34"/>
    </row>
    <row r="543" spans="2:16" x14ac:dyDescent="0.25">
      <c r="B543" s="34" t="s">
        <v>75</v>
      </c>
      <c r="E543" s="34"/>
      <c r="F543" s="34"/>
      <c r="G543" s="34"/>
      <c r="H543" s="34"/>
    </row>
    <row r="544" spans="2:16" x14ac:dyDescent="0.25">
      <c r="B544" s="34" t="s">
        <v>77</v>
      </c>
      <c r="C544" s="34"/>
      <c r="D544" s="34"/>
      <c r="E544" s="34"/>
      <c r="F544" s="34"/>
      <c r="G544" s="34"/>
      <c r="H544" s="34"/>
    </row>
    <row r="545" spans="2:8" x14ac:dyDescent="0.25">
      <c r="C545" s="34"/>
      <c r="D545" s="34"/>
      <c r="E545" s="34"/>
      <c r="F545" s="34"/>
      <c r="G545" s="34"/>
      <c r="H545" s="34"/>
    </row>
    <row r="546" spans="2:8" x14ac:dyDescent="0.25">
      <c r="B546" s="56" t="s">
        <v>90</v>
      </c>
      <c r="C546" s="56" t="s">
        <v>79</v>
      </c>
      <c r="D546" s="56"/>
      <c r="E546" s="34"/>
      <c r="H546" s="34"/>
    </row>
    <row r="547" spans="2:8" x14ac:dyDescent="0.25">
      <c r="B547" s="34" t="s">
        <v>76</v>
      </c>
      <c r="C547" s="78">
        <v>1</v>
      </c>
      <c r="D547" s="34"/>
      <c r="E547" s="34"/>
      <c r="F547" s="34"/>
      <c r="G547" s="34"/>
      <c r="H547" s="34"/>
    </row>
    <row r="548" spans="2:8" x14ac:dyDescent="0.25">
      <c r="B548" s="34" t="s">
        <v>75</v>
      </c>
      <c r="C548" s="78">
        <v>1.1355900000000001</v>
      </c>
      <c r="D548" s="78"/>
      <c r="E548" s="34"/>
      <c r="F548" s="34"/>
      <c r="G548" s="34"/>
      <c r="H548" s="34"/>
    </row>
    <row r="549" spans="2:8" x14ac:dyDescent="0.25">
      <c r="B549" s="34" t="s">
        <v>77</v>
      </c>
      <c r="C549" s="55">
        <v>0.89676</v>
      </c>
    </row>
    <row r="552" spans="2:8" x14ac:dyDescent="0.25">
      <c r="B552" s="56" t="s">
        <v>92</v>
      </c>
      <c r="C552" s="72"/>
    </row>
    <row r="553" spans="2:8" x14ac:dyDescent="0.25">
      <c r="B553" s="79" t="s">
        <v>145</v>
      </c>
    </row>
    <row r="555" spans="2:8" x14ac:dyDescent="0.25">
      <c r="B555" s="64" t="s">
        <v>89</v>
      </c>
      <c r="C555" s="63">
        <v>100</v>
      </c>
    </row>
    <row r="556" spans="2:8" x14ac:dyDescent="0.25">
      <c r="B556" s="14" t="s">
        <v>93</v>
      </c>
      <c r="C556" s="14">
        <v>100</v>
      </c>
    </row>
    <row r="557" spans="2:8" x14ac:dyDescent="0.25">
      <c r="B557" s="14" t="s">
        <v>84</v>
      </c>
      <c r="C557" s="14">
        <v>110.8</v>
      </c>
    </row>
    <row r="558" spans="2:8" x14ac:dyDescent="0.25">
      <c r="B558" s="14" t="s">
        <v>94</v>
      </c>
      <c r="C558" s="14">
        <v>49.6</v>
      </c>
    </row>
    <row r="559" spans="2:8" x14ac:dyDescent="0.25">
      <c r="B559" s="14" t="s">
        <v>95</v>
      </c>
      <c r="C559" s="14">
        <v>68.2</v>
      </c>
    </row>
    <row r="560" spans="2:8" x14ac:dyDescent="0.25">
      <c r="B560" s="14" t="s">
        <v>96</v>
      </c>
      <c r="C560" s="14">
        <v>138.9</v>
      </c>
    </row>
    <row r="561" spans="2:3" x14ac:dyDescent="0.25">
      <c r="B561" s="14" t="s">
        <v>97</v>
      </c>
      <c r="C561" s="14">
        <v>104</v>
      </c>
    </row>
    <row r="562" spans="2:3" x14ac:dyDescent="0.25">
      <c r="B562" s="14" t="s">
        <v>88</v>
      </c>
      <c r="C562" s="14">
        <v>78.099999999999994</v>
      </c>
    </row>
    <row r="563" spans="2:3" x14ac:dyDescent="0.25">
      <c r="B563" s="14" t="s">
        <v>98</v>
      </c>
      <c r="C563" s="14">
        <v>127.2</v>
      </c>
    </row>
    <row r="564" spans="2:3" x14ac:dyDescent="0.25">
      <c r="B564" s="14" t="s">
        <v>99</v>
      </c>
      <c r="C564" s="14">
        <v>85.4</v>
      </c>
    </row>
    <row r="565" spans="2:3" x14ac:dyDescent="0.25">
      <c r="B565" s="14" t="s">
        <v>100</v>
      </c>
      <c r="C565" s="14">
        <v>92.5</v>
      </c>
    </row>
    <row r="566" spans="2:3" x14ac:dyDescent="0.25">
      <c r="B566" s="14" t="s">
        <v>86</v>
      </c>
      <c r="C566" s="14">
        <v>109.5</v>
      </c>
    </row>
    <row r="567" spans="2:3" x14ac:dyDescent="0.25">
      <c r="B567" s="14" t="s">
        <v>101</v>
      </c>
      <c r="C567" s="14">
        <v>67.400000000000006</v>
      </c>
    </row>
    <row r="568" spans="2:3" x14ac:dyDescent="0.25">
      <c r="B568" s="14" t="s">
        <v>102</v>
      </c>
      <c r="C568" s="14">
        <v>100.9</v>
      </c>
    </row>
    <row r="569" spans="2:3" x14ac:dyDescent="0.25">
      <c r="B569" s="14" t="s">
        <v>103</v>
      </c>
      <c r="C569" s="14">
        <v>89.5</v>
      </c>
    </row>
    <row r="570" spans="2:3" x14ac:dyDescent="0.25">
      <c r="B570" s="14" t="s">
        <v>104</v>
      </c>
      <c r="C570" s="14">
        <v>72.8</v>
      </c>
    </row>
    <row r="571" spans="2:3" x14ac:dyDescent="0.25">
      <c r="B571" s="14" t="s">
        <v>105</v>
      </c>
      <c r="C571" s="14">
        <v>64.5</v>
      </c>
    </row>
    <row r="572" spans="2:3" x14ac:dyDescent="0.25">
      <c r="B572" s="14" t="s">
        <v>106</v>
      </c>
      <c r="C572" s="14">
        <v>125.9</v>
      </c>
    </row>
    <row r="573" spans="2:3" x14ac:dyDescent="0.25">
      <c r="B573" s="14" t="s">
        <v>107</v>
      </c>
      <c r="C573" s="14">
        <v>63</v>
      </c>
    </row>
    <row r="574" spans="2:3" x14ac:dyDescent="0.25">
      <c r="B574" s="14" t="s">
        <v>108</v>
      </c>
      <c r="C574" s="14">
        <v>81.7</v>
      </c>
    </row>
    <row r="575" spans="2:3" x14ac:dyDescent="0.25">
      <c r="B575" s="14" t="s">
        <v>87</v>
      </c>
      <c r="C575" s="14">
        <v>112.1</v>
      </c>
    </row>
    <row r="576" spans="2:3" x14ac:dyDescent="0.25">
      <c r="B576" s="14" t="s">
        <v>109</v>
      </c>
      <c r="C576" s="14">
        <v>108.6</v>
      </c>
    </row>
    <row r="577" spans="2:3" x14ac:dyDescent="0.25">
      <c r="B577" s="14" t="s">
        <v>110</v>
      </c>
      <c r="C577" s="14">
        <v>56.7</v>
      </c>
    </row>
    <row r="578" spans="2:3" x14ac:dyDescent="0.25">
      <c r="B578" s="14" t="s">
        <v>111</v>
      </c>
      <c r="C578" s="14">
        <v>86</v>
      </c>
    </row>
    <row r="579" spans="2:3" x14ac:dyDescent="0.25">
      <c r="B579" s="14" t="s">
        <v>112</v>
      </c>
      <c r="C579" s="14">
        <v>52.6</v>
      </c>
    </row>
    <row r="580" spans="2:3" x14ac:dyDescent="0.25">
      <c r="B580" s="14" t="s">
        <v>113</v>
      </c>
      <c r="C580" s="14">
        <v>83.8</v>
      </c>
    </row>
    <row r="581" spans="2:3" x14ac:dyDescent="0.25">
      <c r="B581" s="14" t="s">
        <v>114</v>
      </c>
      <c r="C581" s="14">
        <v>69.8</v>
      </c>
    </row>
    <row r="582" spans="2:3" x14ac:dyDescent="0.25">
      <c r="B582" s="14" t="s">
        <v>85</v>
      </c>
      <c r="C582" s="14">
        <v>122.4</v>
      </c>
    </row>
    <row r="583" spans="2:3" x14ac:dyDescent="0.25">
      <c r="B583" s="14" t="s">
        <v>115</v>
      </c>
      <c r="C583" s="14">
        <v>125.5</v>
      </c>
    </row>
    <row r="584" spans="2:3" x14ac:dyDescent="0.25">
      <c r="B584" s="14" t="s">
        <v>116</v>
      </c>
      <c r="C584" s="14">
        <v>116.4</v>
      </c>
    </row>
    <row r="585" spans="2:3" x14ac:dyDescent="0.25">
      <c r="B585" s="14" t="s">
        <v>117</v>
      </c>
      <c r="C585" s="14">
        <v>166.1</v>
      </c>
    </row>
    <row r="586" spans="2:3" x14ac:dyDescent="0.25">
      <c r="B586" s="14" t="s">
        <v>118</v>
      </c>
      <c r="C586" s="32" t="s">
        <v>119</v>
      </c>
    </row>
    <row r="587" spans="2:3" x14ac:dyDescent="0.25">
      <c r="B587" s="14" t="s">
        <v>120</v>
      </c>
      <c r="C587" s="14">
        <v>149.5</v>
      </c>
    </row>
    <row r="588" spans="2:3" x14ac:dyDescent="0.25">
      <c r="B588" s="14" t="s">
        <v>121</v>
      </c>
      <c r="C588" s="14">
        <v>159.9</v>
      </c>
    </row>
    <row r="589" spans="2:3" x14ac:dyDescent="0.25">
      <c r="B589" s="14" t="s">
        <v>122</v>
      </c>
      <c r="C589" s="14">
        <v>55.6</v>
      </c>
    </row>
    <row r="590" spans="2:3" x14ac:dyDescent="0.25">
      <c r="B590" s="14" t="s">
        <v>123</v>
      </c>
      <c r="C590" s="14">
        <v>47.9</v>
      </c>
    </row>
    <row r="591" spans="2:3" x14ac:dyDescent="0.25">
      <c r="B591" s="14" t="s">
        <v>124</v>
      </c>
      <c r="C591" s="14">
        <v>49.8</v>
      </c>
    </row>
    <row r="592" spans="2:3" x14ac:dyDescent="0.25">
      <c r="B592" s="14" t="s">
        <v>125</v>
      </c>
      <c r="C592" s="14">
        <v>51.9</v>
      </c>
    </row>
    <row r="593" spans="2:3" x14ac:dyDescent="0.25">
      <c r="B593" s="14" t="s">
        <v>126</v>
      </c>
      <c r="C593" s="14">
        <v>52.7</v>
      </c>
    </row>
    <row r="594" spans="2:3" x14ac:dyDescent="0.25">
      <c r="B594" s="14" t="s">
        <v>127</v>
      </c>
      <c r="C594" s="14">
        <v>52</v>
      </c>
    </row>
    <row r="595" spans="2:3" x14ac:dyDescent="0.25">
      <c r="B595" s="14" t="s">
        <v>128</v>
      </c>
      <c r="C595" s="14">
        <v>52.1</v>
      </c>
    </row>
    <row r="596" spans="2:3" x14ac:dyDescent="0.25">
      <c r="B596" s="14" t="s">
        <v>129</v>
      </c>
      <c r="C596" s="14">
        <v>114.4</v>
      </c>
    </row>
    <row r="597" spans="2:3" x14ac:dyDescent="0.25">
      <c r="B597" s="14" t="s">
        <v>130</v>
      </c>
      <c r="C597" s="14">
        <v>110.8</v>
      </c>
    </row>
  </sheetData>
  <sheetProtection password="D792" sheet="1" selectLockedCells="1"/>
  <protectedRanges>
    <protectedRange sqref="B2 D2:F3 H2" name="Headings"/>
  </protectedRanges>
  <mergeCells count="9">
    <mergeCell ref="F25:F26"/>
    <mergeCell ref="G25:G26"/>
    <mergeCell ref="B42:G42"/>
    <mergeCell ref="D2:F2"/>
    <mergeCell ref="D3:F3"/>
    <mergeCell ref="B9:G9"/>
    <mergeCell ref="E19:F19"/>
    <mergeCell ref="E20:F20"/>
    <mergeCell ref="B22:G22"/>
  </mergeCells>
  <conditionalFormatting sqref="C6 F6 I10 I14:I18 F16:F18 I23 C34 I27:I31 I39 I43 C52:C53 C59 I59">
    <cfRule type="expression" dxfId="69" priority="10">
      <formula>$H$2="£ Sterling"</formula>
    </cfRule>
  </conditionalFormatting>
  <conditionalFormatting sqref="C6 F6 I10 I14:I18 F16:F18 I23 C34 I27:I31 I39 I43 C52:C53 C59 I59">
    <cfRule type="expression" dxfId="68" priority="9">
      <formula>$H$2="$ US Dollars"</formula>
    </cfRule>
  </conditionalFormatting>
  <conditionalFormatting sqref="C6 F6 I10 I14:I18 F16:F18 I23 C34 I27:I31 I39 I43 C52:C53 C59 I59">
    <cfRule type="expression" dxfId="67" priority="8">
      <formula>$H$2="€ Euros"</formula>
    </cfRule>
  </conditionalFormatting>
  <conditionalFormatting sqref="F15 C36 C39 C51 C60">
    <cfRule type="expression" dxfId="66" priority="5">
      <formula>$H$2="$ US Dollars"</formula>
    </cfRule>
    <cfRule type="expression" dxfId="65" priority="6">
      <formula>$H$2="£ Sterling"</formula>
    </cfRule>
    <cfRule type="expression" dxfId="64" priority="7">
      <formula>$H$2="€ Euros"</formula>
    </cfRule>
  </conditionalFormatting>
  <conditionalFormatting sqref="L12">
    <cfRule type="expression" dxfId="63" priority="4">
      <formula>$H$2="€ Euros"</formula>
    </cfRule>
  </conditionalFormatting>
  <conditionalFormatting sqref="C7">
    <cfRule type="expression" dxfId="62" priority="3">
      <formula>$H$2="£ Sterling"</formula>
    </cfRule>
  </conditionalFormatting>
  <conditionalFormatting sqref="C7">
    <cfRule type="expression" dxfId="61" priority="2">
      <formula>$H$2="$ US Dollars"</formula>
    </cfRule>
  </conditionalFormatting>
  <conditionalFormatting sqref="C7">
    <cfRule type="expression" dxfId="60" priority="1">
      <formula>$H$2="€ Euros"</formula>
    </cfRule>
  </conditionalFormatting>
  <dataValidations count="21">
    <dataValidation type="decimal" showInputMessage="1" showErrorMessage="1" prompt="Enter value between 0 and 20 for number of fixed staff supporting the facility i.e., even if no digitisation is occurring. Part FTE allowed." sqref="C16" xr:uid="{1DB3EEEA-9917-4CFF-B1E6-5B233F14043D}">
      <formula1>0</formula1>
      <formula2>20</formula2>
    </dataValidation>
    <dataValidation type="decimal" allowBlank="1" showInputMessage="1" showErrorMessage="1" prompt="Enter depreciation period in years (straight line depreciation will be used)" sqref="C14" xr:uid="{5D94CCC7-4CF9-41B3-AA0F-815DBA63AB45}">
      <formula1>1</formula1>
      <formula2>7</formula2>
    </dataValidation>
    <dataValidation allowBlank="1" showInputMessage="1" showErrorMessage="1" prompt="Enter room area of your digitisation facility" sqref="C15" xr:uid="{994BE69F-68B3-4CFD-B7A5-3664D90EB4F6}"/>
    <dataValidation allowBlank="1" showInputMessage="1" showErrorMessage="1" prompt="Enter monthly average gross salary for number of staff selected above" sqref="C34" xr:uid="{DE899278-4652-4AFD-BF01-72F8883C269C}"/>
    <dataValidation allowBlank="1" showInputMessage="1" showErrorMessage="1" prompt="Number of hours in working week (change if necessary)" sqref="C35" xr:uid="{1DF88B52-DD8F-4828-85F6-4EE35491C055}"/>
    <dataValidation allowBlank="1" showInputMessage="1" showErrorMessage="1" prompt="Only enter a value here if you do not know the split across the above 5 task clusters" sqref="F34" xr:uid="{1D7BE168-01B1-49AC-AF4D-B8B5BF330C58}"/>
    <dataValidation allowBlank="1" showInputMessage="1" showErrorMessage="1" prompt="Enter in minutes. Add up for all persons involved. See Instructions sheet for explanation of the tasks_x000a_" sqref="F27:F31" xr:uid="{04286044-7220-49A1-BB4D-0BD7268900BE}"/>
    <dataValidation allowBlank="1" showInputMessage="1" showErrorMessage="1" prompt="This cell not currently used" sqref="C17" xr:uid="{D690CDAC-EFC8-4440-A69C-640802838A2E}"/>
    <dataValidation type="list" allowBlank="1" showInputMessage="1" showErrorMessage="1" prompt="Choose type of workflow" sqref="B28" xr:uid="{FDB5E2FE-284F-4844-9EDB-9CCBBF944744}">
      <formula1>$J$520:$J$523</formula1>
    </dataValidation>
    <dataValidation type="list" allowBlank="1" showInputMessage="1" showErrorMessage="1" prompt="Choose type of process" sqref="B29" xr:uid="{3A396C8F-0116-4C58-AD7D-D7E752C35075}">
      <formula1>$M$520:$M$523</formula1>
    </dataValidation>
    <dataValidation type="list" allowBlank="1" showInputMessage="1" showErrorMessage="1" prompt="Select number of staff needed for digitisation (additional to number of fixed staff, above)" sqref="C33" xr:uid="{113C8BE9-BFA1-4F5A-83EA-CA3C7D981BB7}">
      <formula1>$P$520:$P$532</formula1>
    </dataValidation>
    <dataValidation type="list" allowBlank="1" showInputMessage="1" showErrorMessage="1" prompt="Choose unit of digitisation" sqref="B30" xr:uid="{C6E0F090-6DD0-4F6B-9CA4-7C3F810B28B9}">
      <formula1>$E$520:$E$524</formula1>
    </dataValidation>
    <dataValidation type="list" errorStyle="information" allowBlank="1" showInputMessage="1" prompt="Choose typical batch size (or enter own value)" sqref="C31" xr:uid="{054BB08D-BC63-48E6-B016-C0854B98534A}">
      <formula1>$H$520:$H$530</formula1>
    </dataValidation>
    <dataValidation type="list" allowBlank="1" showInputMessage="1" showErrorMessage="1" prompt="Choose specimen category" sqref="B27" xr:uid="{B69DB702-53FC-488A-9425-ABD4DCF316F3}">
      <formula1>$B$520:$B$530</formula1>
    </dataValidation>
    <dataValidation type="list" allowBlank="1" showInputMessage="1" prompt="Select your institution from the drop-down list, or enter if not listed" sqref="B2:B3" xr:uid="{48E7153C-8843-4F59-9928-BDFA4F0FEFA9}">
      <formula1>$U$520:$U$527</formula1>
    </dataValidation>
    <dataValidation type="list" allowBlank="1" showInputMessage="1" showErrorMessage="1" prompt="Choose currency to use from dropdown list_x000a_" sqref="H2:H3" xr:uid="{82F8E100-4987-4BF7-9A91-0D4A1C1CD7A9}">
      <formula1>$B$541:$B$544</formula1>
    </dataValidation>
    <dataValidation allowBlank="1" showInputMessage="1" showErrorMessage="1" prompt="If applicable, include costs of any upgrade(s) divided over the lifetimeof the digitisation facility e.g., if upgrade cost is €10,000 and lifetime is 5 years, enter €2,000." sqref="C18" xr:uid="{C20296E4-F821-4079-A8AD-1DCF6E7FC7B5}"/>
    <dataValidation allowBlank="1" showErrorMessage="1" sqref="B19" xr:uid="{1DA0FEB7-403F-4DC7-AB73-D14051A1E35F}"/>
    <dataValidation allowBlank="1" showInputMessage="1" showErrorMessage="1" prompt="Capital equipment costs include digitisation equipment, furniture, computers, etc." sqref="C6" xr:uid="{8F93157A-B6BF-4D40-961C-997F61CBD78E}"/>
    <dataValidation allowBlank="1" showInputMessage="1" showErrorMessage="1" prompt="Other costs are costs of procurement, making a room ready e.g., decorating, wiring, etc._x000a_" sqref="F6" xr:uid="{EDF08287-5AB6-43F5-8190-31E4645DE41D}"/>
    <dataValidation allowBlank="1" showInputMessage="1" showErrorMessage="1" prompt="Include any equipment (capital) upgrade costs during lifetime of facility (but not annual maintenance contracts, licenses, etc.)" sqref="C7" xr:uid="{5E5C7036-ECBD-4385-9B7B-4C9B8A84A52E}"/>
  </dataValidations>
  <hyperlinks>
    <hyperlink ref="B553" r:id="rId1" xr:uid="{52557D3D-AD33-440A-B424-8EF284874289}"/>
  </hyperlinks>
  <pageMargins left="0.7" right="0.7" top="0.75" bottom="0.75" header="0.3" footer="0.3"/>
  <pageSetup paperSize="9" orientation="portrait" horizontalDpi="4294967293"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67D7C-60F3-4AB2-8440-D9619424964D}">
  <dimension ref="A2:AV597"/>
  <sheetViews>
    <sheetView topLeftCell="A7" workbookViewId="0">
      <selection activeCell="F18" sqref="F18"/>
    </sheetView>
  </sheetViews>
  <sheetFormatPr defaultColWidth="8.7109375" defaultRowHeight="15" x14ac:dyDescent="0.25"/>
  <cols>
    <col min="1" max="1" width="1.5703125" style="14" customWidth="1"/>
    <col min="2" max="2" width="55.5703125" style="14" bestFit="1" customWidth="1"/>
    <col min="3" max="3" width="10.28515625" style="14" bestFit="1" customWidth="1"/>
    <col min="4" max="4" width="8.7109375" style="14"/>
    <col min="5" max="5" width="29.85546875" style="32" customWidth="1"/>
    <col min="6" max="6" width="10.28515625" style="14" bestFit="1" customWidth="1"/>
    <col min="7" max="7" width="8.7109375" style="14"/>
    <col min="8" max="8" width="24.85546875" style="14" bestFit="1" customWidth="1"/>
    <col min="9" max="9" width="11.42578125" style="14" bestFit="1" customWidth="1"/>
    <col min="10" max="10" width="1.140625" style="14" customWidth="1"/>
    <col min="11" max="16384" width="8.7109375" style="14"/>
  </cols>
  <sheetData>
    <row r="2" spans="1:14" ht="42.6" customHeight="1" x14ac:dyDescent="0.25">
      <c r="B2" s="1" t="s">
        <v>146</v>
      </c>
      <c r="C2" s="57" t="str">
        <f>_xlfn.SWITCH($B$2, "APM","Belgium","LUOMUS","Finland","MNHN","France","Naturalis","Netherlands","NHMUK","UK","RBGK","UK","UTARTU","Estonia","- -")</f>
        <v>- -</v>
      </c>
      <c r="D2" s="85" t="s">
        <v>147</v>
      </c>
      <c r="E2" s="86"/>
      <c r="F2" s="87"/>
      <c r="H2" s="80" t="s">
        <v>76</v>
      </c>
    </row>
    <row r="3" spans="1:14" ht="42.6" customHeight="1" x14ac:dyDescent="0.25">
      <c r="C3" s="57"/>
      <c r="D3" s="88"/>
      <c r="E3" s="89"/>
      <c r="F3" s="90"/>
    </row>
    <row r="5" spans="1:14" x14ac:dyDescent="0.25">
      <c r="A5" s="9"/>
      <c r="B5" s="15" t="s">
        <v>30</v>
      </c>
      <c r="C5" s="16"/>
      <c r="D5" s="16"/>
      <c r="E5" s="17"/>
      <c r="F5" s="16"/>
      <c r="G5" s="16"/>
      <c r="H5" s="16"/>
      <c r="I5" s="18"/>
    </row>
    <row r="6" spans="1:14" ht="14.45" customHeight="1" x14ac:dyDescent="0.25">
      <c r="A6" s="48"/>
      <c r="B6" s="36" t="s">
        <v>22</v>
      </c>
      <c r="C6" s="2">
        <v>20000</v>
      </c>
      <c r="D6" s="20"/>
      <c r="E6" s="49" t="s">
        <v>54</v>
      </c>
      <c r="F6" s="2"/>
      <c r="G6" s="20"/>
      <c r="H6" s="20"/>
      <c r="I6" s="22"/>
    </row>
    <row r="7" spans="1:14" ht="14.45" customHeight="1" x14ac:dyDescent="0.25">
      <c r="A7" s="9"/>
      <c r="B7" s="36" t="s">
        <v>140</v>
      </c>
      <c r="C7" s="2"/>
      <c r="D7" s="20"/>
      <c r="E7" s="20"/>
      <c r="F7" s="20"/>
      <c r="G7" s="20"/>
      <c r="H7" s="20"/>
      <c r="I7" s="22"/>
    </row>
    <row r="8" spans="1:14" ht="14.45" customHeight="1" x14ac:dyDescent="0.25">
      <c r="A8" s="9"/>
      <c r="B8" s="53" t="s">
        <v>144</v>
      </c>
      <c r="C8" s="20"/>
      <c r="D8" s="20"/>
      <c r="E8" s="20"/>
      <c r="F8" s="20"/>
      <c r="G8" s="20"/>
      <c r="H8" s="20"/>
      <c r="I8" s="22"/>
    </row>
    <row r="9" spans="1:14" ht="45" customHeight="1" x14ac:dyDescent="0.25">
      <c r="A9" s="9"/>
      <c r="B9" s="83" t="s">
        <v>156</v>
      </c>
      <c r="C9" s="84"/>
      <c r="D9" s="84"/>
      <c r="E9" s="84"/>
      <c r="F9" s="84"/>
      <c r="G9" s="84"/>
      <c r="H9" s="29"/>
      <c r="I9" s="35"/>
      <c r="K9" s="70" t="s">
        <v>76</v>
      </c>
      <c r="L9" s="71" t="s">
        <v>91</v>
      </c>
      <c r="M9" s="65"/>
      <c r="N9" s="65"/>
    </row>
    <row r="10" spans="1:14" ht="14.45" customHeight="1" x14ac:dyDescent="0.25">
      <c r="A10" s="9"/>
      <c r="B10" s="10"/>
      <c r="C10" s="11"/>
      <c r="D10" s="11"/>
      <c r="E10" s="11"/>
      <c r="F10" s="11"/>
      <c r="G10" s="12"/>
      <c r="H10" s="46" t="s">
        <v>29</v>
      </c>
      <c r="I10" s="58">
        <f>C6+F6</f>
        <v>20000</v>
      </c>
      <c r="K10" s="68">
        <f>$I$10*VLOOKUP($H$2,$B$547:$C$549,2,)</f>
        <v>20000</v>
      </c>
      <c r="L10" s="68">
        <f>$I$10*VLOOKUP($H$2,$B$547:$C$549,2,)*100/VLOOKUP($C$2,$B$555:$C$597,2,)</f>
        <v>20000</v>
      </c>
    </row>
    <row r="11" spans="1:14" ht="14.45" customHeight="1" x14ac:dyDescent="0.25">
      <c r="A11" s="9"/>
      <c r="B11" s="9"/>
      <c r="C11" s="9"/>
      <c r="D11" s="9"/>
      <c r="E11" s="9"/>
      <c r="F11" s="9"/>
      <c r="G11" s="9"/>
      <c r="H11" s="47"/>
    </row>
    <row r="12" spans="1:14" ht="14.45" customHeight="1" x14ac:dyDescent="0.25">
      <c r="B12" s="15" t="s">
        <v>27</v>
      </c>
      <c r="C12" s="16"/>
      <c r="D12" s="16"/>
      <c r="E12" s="16"/>
      <c r="F12" s="16"/>
      <c r="G12" s="16"/>
      <c r="H12" s="16"/>
      <c r="I12" s="18"/>
    </row>
    <row r="13" spans="1:14" ht="14.45" customHeight="1" x14ac:dyDescent="0.25">
      <c r="B13" s="19"/>
      <c r="C13" s="20"/>
      <c r="D13" s="20"/>
      <c r="E13" s="20"/>
      <c r="F13" s="20"/>
      <c r="G13" s="20"/>
      <c r="H13" s="29" t="s">
        <v>26</v>
      </c>
      <c r="I13" s="22"/>
    </row>
    <row r="14" spans="1:14" x14ac:dyDescent="0.25">
      <c r="A14" s="44"/>
      <c r="B14" s="36" t="s">
        <v>133</v>
      </c>
      <c r="C14" s="2">
        <v>7</v>
      </c>
      <c r="D14" s="20"/>
      <c r="E14" s="21"/>
      <c r="F14" s="20"/>
      <c r="G14" s="20"/>
      <c r="H14" s="20" t="s">
        <v>25</v>
      </c>
      <c r="I14" s="24">
        <f>(C6+C7)/C14</f>
        <v>2857.1428571428573</v>
      </c>
    </row>
    <row r="15" spans="1:14" ht="17.25" x14ac:dyDescent="0.25">
      <c r="B15" s="36" t="s">
        <v>20</v>
      </c>
      <c r="C15" s="3">
        <v>12</v>
      </c>
      <c r="D15" s="20"/>
      <c r="E15" s="21" t="s">
        <v>21</v>
      </c>
      <c r="F15" s="59">
        <v>0</v>
      </c>
      <c r="G15" s="20"/>
      <c r="H15" s="20" t="s">
        <v>60</v>
      </c>
      <c r="I15" s="24">
        <f>C15*F15*12</f>
        <v>0</v>
      </c>
    </row>
    <row r="16" spans="1:14" x14ac:dyDescent="0.25">
      <c r="B16" s="36" t="s">
        <v>142</v>
      </c>
      <c r="C16" s="4">
        <v>0</v>
      </c>
      <c r="D16" s="20"/>
      <c r="E16" s="21" t="s">
        <v>141</v>
      </c>
      <c r="F16" s="2">
        <v>4635</v>
      </c>
      <c r="G16" s="20"/>
      <c r="H16" s="20" t="s">
        <v>61</v>
      </c>
      <c r="I16" s="24">
        <f>C16*F16*12</f>
        <v>0</v>
      </c>
    </row>
    <row r="17" spans="1:48" x14ac:dyDescent="0.25">
      <c r="B17" s="36"/>
      <c r="C17" s="76"/>
      <c r="D17" s="20"/>
      <c r="E17" s="21" t="s">
        <v>51</v>
      </c>
      <c r="F17" s="2">
        <v>1158</v>
      </c>
      <c r="G17" s="20"/>
      <c r="H17" s="20" t="s">
        <v>62</v>
      </c>
      <c r="I17" s="24">
        <f>F17*12</f>
        <v>13896</v>
      </c>
    </row>
    <row r="18" spans="1:48" x14ac:dyDescent="0.25">
      <c r="B18" s="36"/>
      <c r="C18" s="77"/>
      <c r="D18" s="20"/>
      <c r="E18" s="21" t="s">
        <v>53</v>
      </c>
      <c r="F18" s="2"/>
      <c r="G18" s="20"/>
      <c r="H18" s="20" t="s">
        <v>52</v>
      </c>
      <c r="I18" s="24">
        <f>F18*12</f>
        <v>0</v>
      </c>
    </row>
    <row r="19" spans="1:48" x14ac:dyDescent="0.25">
      <c r="B19" s="75"/>
      <c r="C19" s="73"/>
      <c r="D19" s="42"/>
      <c r="E19" s="91" t="s">
        <v>138</v>
      </c>
      <c r="F19" s="91"/>
      <c r="G19" s="20"/>
      <c r="H19" s="20"/>
      <c r="I19" s="22"/>
    </row>
    <row r="20" spans="1:48" x14ac:dyDescent="0.25">
      <c r="B20" s="74"/>
      <c r="C20" s="20"/>
      <c r="D20" s="20"/>
      <c r="E20" s="91" t="s">
        <v>139</v>
      </c>
      <c r="F20" s="91"/>
      <c r="G20" s="20"/>
      <c r="H20" s="26"/>
      <c r="I20" s="22"/>
      <c r="AV20" s="33"/>
    </row>
    <row r="21" spans="1:48" x14ac:dyDescent="0.25">
      <c r="B21" s="53" t="s">
        <v>143</v>
      </c>
      <c r="C21" s="20"/>
      <c r="D21" s="20"/>
      <c r="E21" s="21"/>
      <c r="F21" s="20"/>
      <c r="G21" s="20"/>
      <c r="H21" s="26"/>
      <c r="I21" s="22"/>
      <c r="AV21" s="33"/>
    </row>
    <row r="22" spans="1:48" ht="45" customHeight="1" x14ac:dyDescent="0.25">
      <c r="A22" s="9"/>
      <c r="B22" s="83" t="s">
        <v>157</v>
      </c>
      <c r="C22" s="84"/>
      <c r="D22" s="84"/>
      <c r="E22" s="84"/>
      <c r="F22" s="84"/>
      <c r="G22" s="84"/>
      <c r="H22" s="29"/>
      <c r="I22" s="35"/>
      <c r="K22" s="70" t="s">
        <v>76</v>
      </c>
      <c r="L22" s="71" t="s">
        <v>91</v>
      </c>
    </row>
    <row r="23" spans="1:48" ht="14.45" customHeight="1" x14ac:dyDescent="0.25">
      <c r="A23" s="9"/>
      <c r="B23" s="10"/>
      <c r="C23" s="11"/>
      <c r="D23" s="11"/>
      <c r="E23" s="11"/>
      <c r="F23" s="11"/>
      <c r="G23" s="12"/>
      <c r="H23" s="43" t="s">
        <v>24</v>
      </c>
      <c r="I23" s="58">
        <f>SUM(I14, I15, I16, I17, I18)</f>
        <v>16753.142857142859</v>
      </c>
      <c r="K23" s="68">
        <f>$I$23*VLOOKUP($H$2,$B$547:$C$549,2,)</f>
        <v>16753.142857142859</v>
      </c>
      <c r="L23" s="68">
        <f>$I$23*VLOOKUP($H$2,$B$547:$C$549,2,)*100/VLOOKUP($C$2,$B$555:$C$597,2,)</f>
        <v>16753.142857142859</v>
      </c>
    </row>
    <row r="24" spans="1:48" x14ac:dyDescent="0.25">
      <c r="H24" s="44"/>
      <c r="AV24" s="33"/>
    </row>
    <row r="25" spans="1:48" ht="15.95" customHeight="1" x14ac:dyDescent="0.25">
      <c r="B25" s="15" t="s">
        <v>28</v>
      </c>
      <c r="C25" s="16"/>
      <c r="D25" s="16"/>
      <c r="E25" s="17"/>
      <c r="F25" s="81" t="s">
        <v>131</v>
      </c>
      <c r="G25" s="81" t="s">
        <v>40</v>
      </c>
      <c r="H25" s="16"/>
      <c r="I25" s="18"/>
      <c r="AQ25" s="33"/>
      <c r="AR25" s="33"/>
      <c r="AS25" s="33"/>
      <c r="AT25" s="33"/>
      <c r="AU25" s="33"/>
      <c r="AV25" s="33"/>
    </row>
    <row r="26" spans="1:48" ht="15.95" customHeight="1" x14ac:dyDescent="0.25">
      <c r="B26" s="19" t="s">
        <v>37</v>
      </c>
      <c r="C26" s="20"/>
      <c r="D26" s="29" t="s">
        <v>14</v>
      </c>
      <c r="E26" s="21"/>
      <c r="F26" s="82"/>
      <c r="G26" s="82"/>
      <c r="H26" s="45" t="s">
        <v>32</v>
      </c>
      <c r="I26" s="22"/>
      <c r="AU26" s="33"/>
      <c r="AV26" s="33"/>
    </row>
    <row r="27" spans="1:48" x14ac:dyDescent="0.25">
      <c r="B27" s="5" t="s">
        <v>0</v>
      </c>
      <c r="C27" s="42"/>
      <c r="D27" s="42" t="s">
        <v>44</v>
      </c>
      <c r="E27" s="21"/>
      <c r="F27" s="54"/>
      <c r="G27" s="41">
        <f>F27*C31/60</f>
        <v>0</v>
      </c>
      <c r="H27" s="39"/>
      <c r="I27" s="24">
        <f>G27*C36*C32*12</f>
        <v>0</v>
      </c>
      <c r="AV27" s="33"/>
    </row>
    <row r="28" spans="1:48" ht="15" customHeight="1" x14ac:dyDescent="0.25">
      <c r="B28" s="5" t="s">
        <v>42</v>
      </c>
      <c r="C28" s="42"/>
      <c r="D28" s="42" t="s">
        <v>73</v>
      </c>
      <c r="E28" s="21"/>
      <c r="F28" s="54"/>
      <c r="G28" s="41">
        <f>F28*C31/60</f>
        <v>0</v>
      </c>
      <c r="H28" s="39"/>
      <c r="I28" s="24">
        <f>G28*C36*C32*12</f>
        <v>0</v>
      </c>
    </row>
    <row r="29" spans="1:48" x14ac:dyDescent="0.25">
      <c r="B29" s="5" t="s">
        <v>1</v>
      </c>
      <c r="C29" s="20"/>
      <c r="D29" s="42" t="s">
        <v>45</v>
      </c>
      <c r="E29" s="21"/>
      <c r="F29" s="54"/>
      <c r="G29" s="41">
        <f>F29*C31/60</f>
        <v>0</v>
      </c>
      <c r="H29" s="39"/>
      <c r="I29" s="24">
        <f>G29*C36*C32*12</f>
        <v>0</v>
      </c>
    </row>
    <row r="30" spans="1:48" x14ac:dyDescent="0.25">
      <c r="B30" s="5" t="s">
        <v>15</v>
      </c>
      <c r="C30" s="21"/>
      <c r="D30" s="42" t="s">
        <v>74</v>
      </c>
      <c r="E30" s="21"/>
      <c r="F30" s="54"/>
      <c r="G30" s="41">
        <f>F30*C31/60</f>
        <v>0</v>
      </c>
      <c r="H30" s="39"/>
      <c r="I30" s="24">
        <f>G30*C36*C32*12</f>
        <v>0</v>
      </c>
    </row>
    <row r="31" spans="1:48" x14ac:dyDescent="0.25">
      <c r="B31" s="23" t="s">
        <v>136</v>
      </c>
      <c r="C31" s="7">
        <v>1</v>
      </c>
      <c r="D31" s="42" t="s">
        <v>46</v>
      </c>
      <c r="E31" s="21"/>
      <c r="F31" s="54"/>
      <c r="G31" s="41">
        <f>F31*C31/60</f>
        <v>0</v>
      </c>
      <c r="H31" s="39"/>
      <c r="I31" s="24">
        <f>G31*C36*C32*12</f>
        <v>0</v>
      </c>
    </row>
    <row r="32" spans="1:48" x14ac:dyDescent="0.25">
      <c r="B32" s="23" t="s">
        <v>48</v>
      </c>
      <c r="C32" s="6">
        <v>40</v>
      </c>
      <c r="D32" s="42"/>
      <c r="E32" s="21"/>
      <c r="F32" s="20"/>
      <c r="G32" s="20"/>
      <c r="H32" s="39"/>
      <c r="I32" s="22"/>
    </row>
    <row r="33" spans="1:12" x14ac:dyDescent="0.25">
      <c r="B33" s="23" t="s">
        <v>58</v>
      </c>
      <c r="C33" s="7">
        <v>1</v>
      </c>
      <c r="D33" s="20"/>
      <c r="E33" s="42" t="s">
        <v>47</v>
      </c>
      <c r="F33" s="20"/>
      <c r="G33" s="20"/>
      <c r="H33" s="20"/>
      <c r="I33" s="22"/>
    </row>
    <row r="34" spans="1:12" x14ac:dyDescent="0.25">
      <c r="B34" s="23" t="s">
        <v>23</v>
      </c>
      <c r="C34" s="60">
        <v>4635</v>
      </c>
      <c r="D34" s="21"/>
      <c r="E34" s="21" t="s">
        <v>57</v>
      </c>
      <c r="F34" s="8">
        <v>228</v>
      </c>
      <c r="G34" s="20"/>
      <c r="H34" s="20"/>
      <c r="I34" s="22"/>
    </row>
    <row r="35" spans="1:12" x14ac:dyDescent="0.25">
      <c r="B35" s="23" t="s">
        <v>39</v>
      </c>
      <c r="C35" s="7">
        <v>38</v>
      </c>
      <c r="D35" s="20"/>
      <c r="E35" s="21"/>
      <c r="F35" s="20"/>
      <c r="G35" s="20"/>
      <c r="H35" s="20"/>
      <c r="I35" s="22"/>
    </row>
    <row r="36" spans="1:12" x14ac:dyDescent="0.25">
      <c r="B36" s="36" t="s">
        <v>63</v>
      </c>
      <c r="C36" s="61">
        <f>C33*C34/4.333/C35</f>
        <v>28.149938659249091</v>
      </c>
      <c r="D36" s="20"/>
      <c r="E36" s="21" t="s">
        <v>132</v>
      </c>
      <c r="F36" s="37">
        <f>IF(F34=0,SUM(F27:F31),F34)</f>
        <v>228</v>
      </c>
      <c r="G36" s="38">
        <f>IF(F34=0,F36*C31/60,F34*C31/60)</f>
        <v>3.8</v>
      </c>
      <c r="H36" s="20"/>
      <c r="I36" s="22"/>
    </row>
    <row r="37" spans="1:12" x14ac:dyDescent="0.25">
      <c r="B37" s="36"/>
      <c r="C37" s="39"/>
      <c r="D37" s="20"/>
      <c r="E37" s="40"/>
      <c r="F37" s="26"/>
      <c r="G37" s="26"/>
      <c r="H37" s="20"/>
      <c r="I37" s="22"/>
    </row>
    <row r="38" spans="1:12" x14ac:dyDescent="0.25">
      <c r="B38" s="23" t="s">
        <v>134</v>
      </c>
      <c r="C38" s="39"/>
      <c r="D38" s="20"/>
      <c r="E38" s="40"/>
      <c r="F38" s="26"/>
      <c r="G38" s="26"/>
      <c r="H38" s="20"/>
      <c r="I38" s="22"/>
    </row>
    <row r="39" spans="1:12" x14ac:dyDescent="0.25">
      <c r="B39" s="23" t="s">
        <v>135</v>
      </c>
      <c r="C39" s="62"/>
      <c r="D39" s="20"/>
      <c r="E39" s="21"/>
      <c r="F39" s="20"/>
      <c r="G39" s="41"/>
      <c r="H39" s="20" t="s">
        <v>56</v>
      </c>
      <c r="I39" s="24">
        <f>C39*C32*12</f>
        <v>0</v>
      </c>
    </row>
    <row r="40" spans="1:12" ht="14.45" customHeight="1" x14ac:dyDescent="0.25">
      <c r="B40" s="23"/>
      <c r="C40" s="39"/>
      <c r="D40" s="20"/>
      <c r="E40" s="21"/>
      <c r="F40" s="20"/>
      <c r="G40" s="41"/>
      <c r="H40" s="20"/>
      <c r="I40" s="35"/>
    </row>
    <row r="41" spans="1:12" ht="14.45" customHeight="1" x14ac:dyDescent="0.25">
      <c r="B41" s="50" t="s">
        <v>72</v>
      </c>
      <c r="C41" s="51"/>
      <c r="D41" s="51"/>
      <c r="E41" s="51"/>
      <c r="F41" s="51"/>
      <c r="G41" s="52"/>
      <c r="H41" s="20"/>
      <c r="I41" s="35"/>
    </row>
    <row r="42" spans="1:12" ht="45" customHeight="1" x14ac:dyDescent="0.25">
      <c r="A42" s="9"/>
      <c r="B42" s="83" t="s">
        <v>155</v>
      </c>
      <c r="C42" s="84"/>
      <c r="D42" s="84"/>
      <c r="E42" s="84"/>
      <c r="F42" s="84"/>
      <c r="G42" s="84"/>
      <c r="H42" s="29"/>
      <c r="I42" s="35"/>
      <c r="K42" s="70" t="s">
        <v>76</v>
      </c>
      <c r="L42" s="71" t="s">
        <v>91</v>
      </c>
    </row>
    <row r="43" spans="1:12" x14ac:dyDescent="0.25">
      <c r="A43" s="9"/>
      <c r="B43" s="10"/>
      <c r="C43" s="11"/>
      <c r="D43" s="11"/>
      <c r="E43" s="11"/>
      <c r="F43" s="11"/>
      <c r="G43" s="12"/>
      <c r="H43" s="13" t="s">
        <v>55</v>
      </c>
      <c r="I43" s="58">
        <f>IF(F34=0, SUM(I27:I31, I39), (G36*C36*C32*12)+I39)</f>
        <v>51345.488114470339</v>
      </c>
      <c r="K43" s="68">
        <f>$I$43*VLOOKUP($H$2,$B$547:$C$549,2,)</f>
        <v>51345.488114470339</v>
      </c>
      <c r="L43" s="68">
        <f>$I$43*VLOOKUP($H$2,$B$547:$C$549,2,)*100/VLOOKUP($C$2,$B$555:$C$597,2,)</f>
        <v>51345.488114470339</v>
      </c>
    </row>
    <row r="49" spans="2:12" x14ac:dyDescent="0.25">
      <c r="B49" s="15" t="s">
        <v>66</v>
      </c>
      <c r="C49" s="16"/>
      <c r="D49" s="16"/>
      <c r="E49" s="17"/>
      <c r="F49" s="16"/>
      <c r="G49" s="16"/>
      <c r="H49" s="16"/>
      <c r="I49" s="18"/>
    </row>
    <row r="50" spans="2:12" x14ac:dyDescent="0.25">
      <c r="B50" s="19"/>
      <c r="C50" s="20"/>
      <c r="D50" s="20"/>
      <c r="E50" s="21"/>
      <c r="F50" s="20"/>
      <c r="G50" s="20"/>
      <c r="H50" s="20"/>
      <c r="I50" s="22"/>
    </row>
    <row r="51" spans="2:12" x14ac:dyDescent="0.25">
      <c r="B51" s="19" t="s">
        <v>64</v>
      </c>
      <c r="C51" s="24">
        <f>C36+(C16*F16*12/52/C35)</f>
        <v>28.149938659249091</v>
      </c>
      <c r="D51" s="20"/>
      <c r="E51" s="21"/>
      <c r="F51" s="20"/>
      <c r="G51" s="20"/>
      <c r="H51" s="20"/>
      <c r="I51" s="22"/>
    </row>
    <row r="52" spans="2:12" x14ac:dyDescent="0.25">
      <c r="B52" s="19" t="s">
        <v>65</v>
      </c>
      <c r="C52" s="24">
        <f>I23</f>
        <v>16753.142857142859</v>
      </c>
      <c r="D52" s="20"/>
      <c r="E52" s="21"/>
      <c r="F52" s="20"/>
      <c r="G52" s="20"/>
      <c r="H52" s="20"/>
      <c r="I52" s="22"/>
    </row>
    <row r="53" spans="2:12" x14ac:dyDescent="0.25">
      <c r="B53" s="23" t="s">
        <v>67</v>
      </c>
      <c r="C53" s="24">
        <f>G36*C36+C39</f>
        <v>106.96976690514654</v>
      </c>
      <c r="D53" s="20"/>
      <c r="E53" s="20"/>
      <c r="F53" s="20"/>
      <c r="G53" s="20"/>
      <c r="H53" s="20"/>
      <c r="I53" s="22"/>
    </row>
    <row r="54" spans="2:12" x14ac:dyDescent="0.25">
      <c r="B54" s="19"/>
      <c r="C54" s="20"/>
      <c r="D54" s="20"/>
      <c r="E54" s="21"/>
      <c r="F54" s="20"/>
      <c r="G54" s="20"/>
      <c r="H54" s="20"/>
      <c r="I54" s="22"/>
    </row>
    <row r="55" spans="2:12" x14ac:dyDescent="0.25">
      <c r="B55" s="19" t="s">
        <v>68</v>
      </c>
      <c r="C55" s="24">
        <f>C32*12</f>
        <v>480</v>
      </c>
      <c r="D55" s="20"/>
      <c r="E55" s="21"/>
      <c r="F55" s="20"/>
      <c r="G55" s="20"/>
      <c r="H55" s="20"/>
      <c r="I55" s="22"/>
    </row>
    <row r="56" spans="2:12" x14ac:dyDescent="0.25">
      <c r="B56" s="19" t="s">
        <v>69</v>
      </c>
      <c r="C56" s="24">
        <f>C55*C31</f>
        <v>480</v>
      </c>
      <c r="D56" s="20"/>
      <c r="E56" s="21"/>
      <c r="F56" s="20"/>
      <c r="G56" s="20"/>
      <c r="H56" s="20"/>
      <c r="I56" s="22"/>
    </row>
    <row r="57" spans="2:12" x14ac:dyDescent="0.25">
      <c r="B57" s="19"/>
      <c r="C57" s="25"/>
      <c r="D57" s="20"/>
      <c r="E57" s="21"/>
      <c r="F57" s="20"/>
      <c r="G57" s="20"/>
      <c r="H57" s="20"/>
      <c r="I57" s="22"/>
      <c r="K57" s="70" t="s">
        <v>76</v>
      </c>
      <c r="L57" s="71" t="s">
        <v>91</v>
      </c>
    </row>
    <row r="58" spans="2:12" x14ac:dyDescent="0.25">
      <c r="B58" s="19"/>
      <c r="C58" s="20"/>
      <c r="D58" s="20"/>
      <c r="E58" s="21"/>
      <c r="F58" s="20"/>
      <c r="G58" s="20"/>
      <c r="H58" s="26"/>
      <c r="I58" s="27"/>
    </row>
    <row r="59" spans="2:12" x14ac:dyDescent="0.25">
      <c r="B59" s="28" t="s">
        <v>71</v>
      </c>
      <c r="C59" s="58">
        <f>C53+(C52/C55)</f>
        <v>141.87214785752749</v>
      </c>
      <c r="D59" s="20"/>
      <c r="E59" s="21"/>
      <c r="F59" s="20"/>
      <c r="G59" s="20"/>
      <c r="H59" s="29" t="s">
        <v>59</v>
      </c>
      <c r="I59" s="58">
        <f>C53*C55+C52</f>
        <v>68098.630971613195</v>
      </c>
      <c r="K59" s="68">
        <f>$I$59*VLOOKUP($H$2,$B$547:$C$549,2,)</f>
        <v>68098.630971613195</v>
      </c>
      <c r="L59" s="68">
        <f>$I$59*VLOOKUP($H$2,$B$547:$C$549,2,)*100/VLOOKUP($C$2,$B$555:$C$597,2,)</f>
        <v>68098.630971613195</v>
      </c>
    </row>
    <row r="60" spans="2:12" x14ac:dyDescent="0.25">
      <c r="B60" s="30" t="s">
        <v>70</v>
      </c>
      <c r="C60" s="58">
        <f>C59/C31</f>
        <v>141.87214785752749</v>
      </c>
      <c r="D60" s="12"/>
      <c r="E60" s="31"/>
      <c r="F60" s="12"/>
      <c r="G60" s="12"/>
      <c r="H60" s="12"/>
      <c r="I60" s="27"/>
    </row>
    <row r="62" spans="2:12" x14ac:dyDescent="0.25">
      <c r="C62" s="66" t="s">
        <v>76</v>
      </c>
      <c r="D62" s="67" t="s">
        <v>91</v>
      </c>
    </row>
    <row r="63" spans="2:12" x14ac:dyDescent="0.25">
      <c r="B63" s="44" t="s">
        <v>71</v>
      </c>
      <c r="C63" s="68">
        <f>$C$59*VLOOKUP($H$2,$B$547:$C$549,2,)</f>
        <v>141.87214785752749</v>
      </c>
      <c r="D63" s="68">
        <f>$C$59*VLOOKUP($H$2,$B$547:$C$549,2,)*100/VLOOKUP($C$2,$B$555:$C$597,2,)</f>
        <v>141.87214785752749</v>
      </c>
    </row>
    <row r="64" spans="2:12" x14ac:dyDescent="0.25">
      <c r="B64" s="44" t="s">
        <v>70</v>
      </c>
      <c r="C64" s="69">
        <f>$C$60*VLOOKUP($H$2,$B$547:$C$549,2,)</f>
        <v>141.87214785752749</v>
      </c>
      <c r="D64" s="69">
        <f>$C$60*VLOOKUP($H$2,$B$547:$C$549,2,)*100/VLOOKUP($C$2,$B$555:$C$597,2,)</f>
        <v>141.87214785752749</v>
      </c>
    </row>
    <row r="517" spans="2:21" x14ac:dyDescent="0.25">
      <c r="B517" s="14" t="s">
        <v>50</v>
      </c>
    </row>
    <row r="520" spans="2:21" x14ac:dyDescent="0.25">
      <c r="B520" s="14" t="s">
        <v>31</v>
      </c>
      <c r="E520" s="33" t="s">
        <v>33</v>
      </c>
      <c r="H520" s="33" t="s">
        <v>34</v>
      </c>
      <c r="J520" s="33" t="s">
        <v>35</v>
      </c>
      <c r="M520" s="33" t="s">
        <v>36</v>
      </c>
      <c r="P520" s="14" t="s">
        <v>38</v>
      </c>
      <c r="Q520" s="33"/>
      <c r="U520" s="14" t="s">
        <v>49</v>
      </c>
    </row>
    <row r="521" spans="2:21" x14ac:dyDescent="0.25">
      <c r="B521" s="34" t="s">
        <v>137</v>
      </c>
      <c r="E521" s="33" t="s">
        <v>15</v>
      </c>
      <c r="H521" s="33">
        <v>1</v>
      </c>
      <c r="J521" s="33" t="s">
        <v>41</v>
      </c>
      <c r="M521" s="33" t="s">
        <v>1</v>
      </c>
      <c r="P521" s="14">
        <v>0</v>
      </c>
      <c r="U521" s="14" t="s">
        <v>10</v>
      </c>
    </row>
    <row r="522" spans="2:21" x14ac:dyDescent="0.25">
      <c r="B522" s="34" t="s">
        <v>18</v>
      </c>
      <c r="E522" s="33" t="s">
        <v>16</v>
      </c>
      <c r="H522" s="33">
        <v>10</v>
      </c>
      <c r="J522" s="33" t="s">
        <v>42</v>
      </c>
      <c r="M522" s="33" t="s">
        <v>2</v>
      </c>
      <c r="P522" s="14">
        <v>1</v>
      </c>
      <c r="U522" s="14" t="s">
        <v>12</v>
      </c>
    </row>
    <row r="523" spans="2:21" x14ac:dyDescent="0.25">
      <c r="B523" s="34" t="s">
        <v>4</v>
      </c>
      <c r="E523" s="33" t="s">
        <v>17</v>
      </c>
      <c r="H523" s="33">
        <v>50</v>
      </c>
      <c r="J523" s="33" t="s">
        <v>43</v>
      </c>
      <c r="M523" s="33" t="s">
        <v>3</v>
      </c>
      <c r="P523" s="14">
        <v>2</v>
      </c>
      <c r="U523" s="14" t="s">
        <v>80</v>
      </c>
    </row>
    <row r="524" spans="2:21" x14ac:dyDescent="0.25">
      <c r="B524" s="34" t="s">
        <v>5</v>
      </c>
      <c r="E524" s="33" t="s">
        <v>0</v>
      </c>
      <c r="H524" s="33">
        <v>100</v>
      </c>
      <c r="P524" s="14">
        <v>3</v>
      </c>
      <c r="U524" s="14" t="s">
        <v>11</v>
      </c>
    </row>
    <row r="525" spans="2:21" x14ac:dyDescent="0.25">
      <c r="B525" s="34" t="s">
        <v>6</v>
      </c>
      <c r="E525" s="14"/>
      <c r="H525" s="33">
        <v>500</v>
      </c>
      <c r="P525" s="14">
        <v>4</v>
      </c>
      <c r="U525" s="14" t="s">
        <v>82</v>
      </c>
    </row>
    <row r="526" spans="2:21" x14ac:dyDescent="0.25">
      <c r="B526" s="34" t="s">
        <v>9</v>
      </c>
      <c r="E526" s="14"/>
      <c r="H526" s="33">
        <v>1000</v>
      </c>
      <c r="P526" s="14">
        <v>5</v>
      </c>
      <c r="U526" s="14" t="s">
        <v>81</v>
      </c>
    </row>
    <row r="527" spans="2:21" x14ac:dyDescent="0.25">
      <c r="B527" s="34" t="s">
        <v>7</v>
      </c>
      <c r="E527" s="14"/>
      <c r="H527" s="33">
        <v>5000</v>
      </c>
      <c r="P527" s="14">
        <v>6</v>
      </c>
      <c r="U527" s="14" t="s">
        <v>13</v>
      </c>
    </row>
    <row r="528" spans="2:21" x14ac:dyDescent="0.25">
      <c r="B528" s="34" t="s">
        <v>8</v>
      </c>
      <c r="E528" s="14"/>
      <c r="H528" s="33">
        <v>10000</v>
      </c>
      <c r="P528" s="14">
        <v>7</v>
      </c>
    </row>
    <row r="529" spans="2:16" x14ac:dyDescent="0.25">
      <c r="B529" s="34" t="s">
        <v>19</v>
      </c>
      <c r="E529" s="14"/>
      <c r="H529" s="33">
        <v>50000</v>
      </c>
      <c r="P529" s="14">
        <v>8</v>
      </c>
    </row>
    <row r="530" spans="2:16" x14ac:dyDescent="0.25">
      <c r="B530" s="34" t="s">
        <v>0</v>
      </c>
      <c r="E530" s="14"/>
      <c r="H530" s="33">
        <v>100000</v>
      </c>
      <c r="P530" s="14">
        <v>9</v>
      </c>
    </row>
    <row r="531" spans="2:16" x14ac:dyDescent="0.25">
      <c r="E531" s="14"/>
      <c r="H531" s="33"/>
      <c r="P531" s="14">
        <v>10</v>
      </c>
    </row>
    <row r="532" spans="2:16" x14ac:dyDescent="0.25">
      <c r="E532" s="14"/>
    </row>
    <row r="533" spans="2:16" x14ac:dyDescent="0.25">
      <c r="E533" s="14"/>
    </row>
    <row r="539" spans="2:16" x14ac:dyDescent="0.25">
      <c r="B539" s="14" t="s">
        <v>78</v>
      </c>
    </row>
    <row r="541" spans="2:16" x14ac:dyDescent="0.25">
      <c r="B541" s="14" t="s">
        <v>83</v>
      </c>
    </row>
    <row r="542" spans="2:16" x14ac:dyDescent="0.25">
      <c r="B542" s="34" t="s">
        <v>76</v>
      </c>
      <c r="E542" s="34"/>
      <c r="F542" s="34"/>
      <c r="G542" s="34"/>
      <c r="H542" s="34"/>
    </row>
    <row r="543" spans="2:16" x14ac:dyDescent="0.25">
      <c r="B543" s="34" t="s">
        <v>75</v>
      </c>
      <c r="E543" s="34"/>
      <c r="F543" s="34"/>
      <c r="G543" s="34"/>
      <c r="H543" s="34"/>
    </row>
    <row r="544" spans="2:16" x14ac:dyDescent="0.25">
      <c r="B544" s="34" t="s">
        <v>77</v>
      </c>
      <c r="C544" s="34"/>
      <c r="D544" s="34"/>
      <c r="E544" s="34"/>
      <c r="F544" s="34"/>
      <c r="G544" s="34"/>
      <c r="H544" s="34"/>
    </row>
    <row r="545" spans="2:8" x14ac:dyDescent="0.25">
      <c r="C545" s="34"/>
      <c r="D545" s="34"/>
      <c r="E545" s="34"/>
      <c r="F545" s="34"/>
      <c r="G545" s="34"/>
      <c r="H545" s="34"/>
    </row>
    <row r="546" spans="2:8" x14ac:dyDescent="0.25">
      <c r="B546" s="56" t="s">
        <v>90</v>
      </c>
      <c r="C546" s="56" t="s">
        <v>79</v>
      </c>
      <c r="D546" s="56"/>
      <c r="E546" s="34"/>
      <c r="H546" s="34"/>
    </row>
    <row r="547" spans="2:8" x14ac:dyDescent="0.25">
      <c r="B547" s="34" t="s">
        <v>76</v>
      </c>
      <c r="C547" s="78">
        <v>1</v>
      </c>
      <c r="D547" s="34"/>
      <c r="E547" s="34"/>
      <c r="F547" s="34"/>
      <c r="G547" s="34"/>
      <c r="H547" s="34"/>
    </row>
    <row r="548" spans="2:8" x14ac:dyDescent="0.25">
      <c r="B548" s="34" t="s">
        <v>75</v>
      </c>
      <c r="C548" s="78">
        <v>1.1355900000000001</v>
      </c>
      <c r="D548" s="78"/>
      <c r="E548" s="34"/>
      <c r="F548" s="34"/>
      <c r="G548" s="34"/>
      <c r="H548" s="34"/>
    </row>
    <row r="549" spans="2:8" x14ac:dyDescent="0.25">
      <c r="B549" s="34" t="s">
        <v>77</v>
      </c>
      <c r="C549" s="55">
        <v>0.89676</v>
      </c>
    </row>
    <row r="552" spans="2:8" x14ac:dyDescent="0.25">
      <c r="B552" s="56" t="s">
        <v>92</v>
      </c>
      <c r="C552" s="72"/>
    </row>
    <row r="553" spans="2:8" x14ac:dyDescent="0.25">
      <c r="B553" s="79" t="s">
        <v>145</v>
      </c>
    </row>
    <row r="555" spans="2:8" x14ac:dyDescent="0.25">
      <c r="B555" s="64" t="s">
        <v>89</v>
      </c>
      <c r="C555" s="63">
        <v>100</v>
      </c>
    </row>
    <row r="556" spans="2:8" x14ac:dyDescent="0.25">
      <c r="B556" s="14" t="s">
        <v>93</v>
      </c>
      <c r="C556" s="14">
        <v>100</v>
      </c>
    </row>
    <row r="557" spans="2:8" x14ac:dyDescent="0.25">
      <c r="B557" s="14" t="s">
        <v>84</v>
      </c>
      <c r="C557" s="14">
        <v>110.8</v>
      </c>
    </row>
    <row r="558" spans="2:8" x14ac:dyDescent="0.25">
      <c r="B558" s="14" t="s">
        <v>94</v>
      </c>
      <c r="C558" s="14">
        <v>49.6</v>
      </c>
    </row>
    <row r="559" spans="2:8" x14ac:dyDescent="0.25">
      <c r="B559" s="14" t="s">
        <v>95</v>
      </c>
      <c r="C559" s="14">
        <v>68.2</v>
      </c>
    </row>
    <row r="560" spans="2:8" x14ac:dyDescent="0.25">
      <c r="B560" s="14" t="s">
        <v>96</v>
      </c>
      <c r="C560" s="14">
        <v>138.9</v>
      </c>
    </row>
    <row r="561" spans="2:3" x14ac:dyDescent="0.25">
      <c r="B561" s="14" t="s">
        <v>97</v>
      </c>
      <c r="C561" s="14">
        <v>104</v>
      </c>
    </row>
    <row r="562" spans="2:3" x14ac:dyDescent="0.25">
      <c r="B562" s="14" t="s">
        <v>88</v>
      </c>
      <c r="C562" s="14">
        <v>78.099999999999994</v>
      </c>
    </row>
    <row r="563" spans="2:3" x14ac:dyDescent="0.25">
      <c r="B563" s="14" t="s">
        <v>98</v>
      </c>
      <c r="C563" s="14">
        <v>127.2</v>
      </c>
    </row>
    <row r="564" spans="2:3" x14ac:dyDescent="0.25">
      <c r="B564" s="14" t="s">
        <v>99</v>
      </c>
      <c r="C564" s="14">
        <v>85.4</v>
      </c>
    </row>
    <row r="565" spans="2:3" x14ac:dyDescent="0.25">
      <c r="B565" s="14" t="s">
        <v>100</v>
      </c>
      <c r="C565" s="14">
        <v>92.5</v>
      </c>
    </row>
    <row r="566" spans="2:3" x14ac:dyDescent="0.25">
      <c r="B566" s="14" t="s">
        <v>86</v>
      </c>
      <c r="C566" s="14">
        <v>109.5</v>
      </c>
    </row>
    <row r="567" spans="2:3" x14ac:dyDescent="0.25">
      <c r="B567" s="14" t="s">
        <v>101</v>
      </c>
      <c r="C567" s="14">
        <v>67.400000000000006</v>
      </c>
    </row>
    <row r="568" spans="2:3" x14ac:dyDescent="0.25">
      <c r="B568" s="14" t="s">
        <v>102</v>
      </c>
      <c r="C568" s="14">
        <v>100.9</v>
      </c>
    </row>
    <row r="569" spans="2:3" x14ac:dyDescent="0.25">
      <c r="B569" s="14" t="s">
        <v>103</v>
      </c>
      <c r="C569" s="14">
        <v>89.5</v>
      </c>
    </row>
    <row r="570" spans="2:3" x14ac:dyDescent="0.25">
      <c r="B570" s="14" t="s">
        <v>104</v>
      </c>
      <c r="C570" s="14">
        <v>72.8</v>
      </c>
    </row>
    <row r="571" spans="2:3" x14ac:dyDescent="0.25">
      <c r="B571" s="14" t="s">
        <v>105</v>
      </c>
      <c r="C571" s="14">
        <v>64.5</v>
      </c>
    </row>
    <row r="572" spans="2:3" x14ac:dyDescent="0.25">
      <c r="B572" s="14" t="s">
        <v>106</v>
      </c>
      <c r="C572" s="14">
        <v>125.9</v>
      </c>
    </row>
    <row r="573" spans="2:3" x14ac:dyDescent="0.25">
      <c r="B573" s="14" t="s">
        <v>107</v>
      </c>
      <c r="C573" s="14">
        <v>63</v>
      </c>
    </row>
    <row r="574" spans="2:3" x14ac:dyDescent="0.25">
      <c r="B574" s="14" t="s">
        <v>108</v>
      </c>
      <c r="C574" s="14">
        <v>81.7</v>
      </c>
    </row>
    <row r="575" spans="2:3" x14ac:dyDescent="0.25">
      <c r="B575" s="14" t="s">
        <v>87</v>
      </c>
      <c r="C575" s="14">
        <v>112.1</v>
      </c>
    </row>
    <row r="576" spans="2:3" x14ac:dyDescent="0.25">
      <c r="B576" s="14" t="s">
        <v>109</v>
      </c>
      <c r="C576" s="14">
        <v>108.6</v>
      </c>
    </row>
    <row r="577" spans="2:3" x14ac:dyDescent="0.25">
      <c r="B577" s="14" t="s">
        <v>110</v>
      </c>
      <c r="C577" s="14">
        <v>56.7</v>
      </c>
    </row>
    <row r="578" spans="2:3" x14ac:dyDescent="0.25">
      <c r="B578" s="14" t="s">
        <v>111</v>
      </c>
      <c r="C578" s="14">
        <v>86</v>
      </c>
    </row>
    <row r="579" spans="2:3" x14ac:dyDescent="0.25">
      <c r="B579" s="14" t="s">
        <v>112</v>
      </c>
      <c r="C579" s="14">
        <v>52.6</v>
      </c>
    </row>
    <row r="580" spans="2:3" x14ac:dyDescent="0.25">
      <c r="B580" s="14" t="s">
        <v>113</v>
      </c>
      <c r="C580" s="14">
        <v>83.8</v>
      </c>
    </row>
    <row r="581" spans="2:3" x14ac:dyDescent="0.25">
      <c r="B581" s="14" t="s">
        <v>114</v>
      </c>
      <c r="C581" s="14">
        <v>69.8</v>
      </c>
    </row>
    <row r="582" spans="2:3" x14ac:dyDescent="0.25">
      <c r="B582" s="14" t="s">
        <v>85</v>
      </c>
      <c r="C582" s="14">
        <v>122.4</v>
      </c>
    </row>
    <row r="583" spans="2:3" x14ac:dyDescent="0.25">
      <c r="B583" s="14" t="s">
        <v>115</v>
      </c>
      <c r="C583" s="14">
        <v>125.5</v>
      </c>
    </row>
    <row r="584" spans="2:3" x14ac:dyDescent="0.25">
      <c r="B584" s="14" t="s">
        <v>116</v>
      </c>
      <c r="C584" s="14">
        <v>116.4</v>
      </c>
    </row>
    <row r="585" spans="2:3" x14ac:dyDescent="0.25">
      <c r="B585" s="14" t="s">
        <v>117</v>
      </c>
      <c r="C585" s="14">
        <v>166.1</v>
      </c>
    </row>
    <row r="586" spans="2:3" x14ac:dyDescent="0.25">
      <c r="B586" s="14" t="s">
        <v>118</v>
      </c>
      <c r="C586" s="32" t="s">
        <v>119</v>
      </c>
    </row>
    <row r="587" spans="2:3" x14ac:dyDescent="0.25">
      <c r="B587" s="14" t="s">
        <v>120</v>
      </c>
      <c r="C587" s="14">
        <v>149.5</v>
      </c>
    </row>
    <row r="588" spans="2:3" x14ac:dyDescent="0.25">
      <c r="B588" s="14" t="s">
        <v>121</v>
      </c>
      <c r="C588" s="14">
        <v>159.9</v>
      </c>
    </row>
    <row r="589" spans="2:3" x14ac:dyDescent="0.25">
      <c r="B589" s="14" t="s">
        <v>122</v>
      </c>
      <c r="C589" s="14">
        <v>55.6</v>
      </c>
    </row>
    <row r="590" spans="2:3" x14ac:dyDescent="0.25">
      <c r="B590" s="14" t="s">
        <v>123</v>
      </c>
      <c r="C590" s="14">
        <v>47.9</v>
      </c>
    </row>
    <row r="591" spans="2:3" x14ac:dyDescent="0.25">
      <c r="B591" s="14" t="s">
        <v>124</v>
      </c>
      <c r="C591" s="14">
        <v>49.8</v>
      </c>
    </row>
    <row r="592" spans="2:3" x14ac:dyDescent="0.25">
      <c r="B592" s="14" t="s">
        <v>125</v>
      </c>
      <c r="C592" s="14">
        <v>51.9</v>
      </c>
    </row>
    <row r="593" spans="2:3" x14ac:dyDescent="0.25">
      <c r="B593" s="14" t="s">
        <v>126</v>
      </c>
      <c r="C593" s="14">
        <v>52.7</v>
      </c>
    </row>
    <row r="594" spans="2:3" x14ac:dyDescent="0.25">
      <c r="B594" s="14" t="s">
        <v>127</v>
      </c>
      <c r="C594" s="14">
        <v>52</v>
      </c>
    </row>
    <row r="595" spans="2:3" x14ac:dyDescent="0.25">
      <c r="B595" s="14" t="s">
        <v>128</v>
      </c>
      <c r="C595" s="14">
        <v>52.1</v>
      </c>
    </row>
    <row r="596" spans="2:3" x14ac:dyDescent="0.25">
      <c r="B596" s="14" t="s">
        <v>129</v>
      </c>
      <c r="C596" s="14">
        <v>114.4</v>
      </c>
    </row>
    <row r="597" spans="2:3" x14ac:dyDescent="0.25">
      <c r="B597" s="14" t="s">
        <v>130</v>
      </c>
      <c r="C597" s="14">
        <v>110.8</v>
      </c>
    </row>
  </sheetData>
  <sheetProtection password="D792" sheet="1" selectLockedCells="1"/>
  <protectedRanges>
    <protectedRange sqref="B2 D2:F3 H2" name="Headings"/>
  </protectedRanges>
  <mergeCells count="9">
    <mergeCell ref="F25:F26"/>
    <mergeCell ref="G25:G26"/>
    <mergeCell ref="B42:G42"/>
    <mergeCell ref="D2:F2"/>
    <mergeCell ref="D3:F3"/>
    <mergeCell ref="B9:G9"/>
    <mergeCell ref="E19:F19"/>
    <mergeCell ref="E20:F20"/>
    <mergeCell ref="B22:G22"/>
  </mergeCells>
  <conditionalFormatting sqref="C6 F6 I10 I14:I18 F16:F18 I23 C34 I27:I31 I39 I43 C52:C53 C59 I59">
    <cfRule type="expression" dxfId="59" priority="10">
      <formula>$H$2="£ Sterling"</formula>
    </cfRule>
  </conditionalFormatting>
  <conditionalFormatting sqref="C6 F6 I10 I14:I18 F16:F18 I23 C34 I27:I31 I39 I43 C52:C53 C59 I59">
    <cfRule type="expression" dxfId="58" priority="9">
      <formula>$H$2="$ US Dollars"</formula>
    </cfRule>
  </conditionalFormatting>
  <conditionalFormatting sqref="C6 F6 I10 I14:I18 F16:F18 I23 C34 I27:I31 I39 I43 C52:C53 C59 I59">
    <cfRule type="expression" dxfId="57" priority="8">
      <formula>$H$2="€ Euros"</formula>
    </cfRule>
  </conditionalFormatting>
  <conditionalFormatting sqref="F15 C36 C39 C51 C60">
    <cfRule type="expression" dxfId="56" priority="5">
      <formula>$H$2="$ US Dollars"</formula>
    </cfRule>
    <cfRule type="expression" dxfId="55" priority="6">
      <formula>$H$2="£ Sterling"</formula>
    </cfRule>
    <cfRule type="expression" dxfId="54" priority="7">
      <formula>$H$2="€ Euros"</formula>
    </cfRule>
  </conditionalFormatting>
  <conditionalFormatting sqref="L12">
    <cfRule type="expression" dxfId="53" priority="4">
      <formula>$H$2="€ Euros"</formula>
    </cfRule>
  </conditionalFormatting>
  <conditionalFormatting sqref="C7">
    <cfRule type="expression" dxfId="52" priority="3">
      <formula>$H$2="£ Sterling"</formula>
    </cfRule>
  </conditionalFormatting>
  <conditionalFormatting sqref="C7">
    <cfRule type="expression" dxfId="51" priority="2">
      <formula>$H$2="$ US Dollars"</formula>
    </cfRule>
  </conditionalFormatting>
  <conditionalFormatting sqref="C7">
    <cfRule type="expression" dxfId="50" priority="1">
      <formula>$H$2="€ Euros"</formula>
    </cfRule>
  </conditionalFormatting>
  <dataValidations count="21">
    <dataValidation allowBlank="1" showInputMessage="1" showErrorMessage="1" prompt="Include any equipment (capital) upgrade costs during lifetime of facility (but not annual maintenance contracts, licenses, etc.)" sqref="C7" xr:uid="{A84C87C3-2D93-497B-BB27-B2BBA41778E6}"/>
    <dataValidation allowBlank="1" showInputMessage="1" showErrorMessage="1" prompt="Other costs are costs of procurement, making a room ready e.g., decorating, wiring, etc._x000a_" sqref="F6" xr:uid="{AE8E3666-7470-4E7D-980D-51B74ED7F50C}"/>
    <dataValidation allowBlank="1" showInputMessage="1" showErrorMessage="1" prompt="Capital equipment costs include digitisation equipment, furniture, computers, etc." sqref="C6" xr:uid="{C9E2C253-3970-4146-BDE4-15E980910502}"/>
    <dataValidation allowBlank="1" showErrorMessage="1" sqref="B19" xr:uid="{59565462-BCF0-4592-80F4-38CAD0497AD1}"/>
    <dataValidation allowBlank="1" showInputMessage="1" showErrorMessage="1" prompt="If applicable, include costs of any upgrade(s) divided over the lifetimeof the digitisation facility e.g., if upgrade cost is €10,000 and lifetime is 5 years, enter €2,000." sqref="C18" xr:uid="{0D3A6734-AF21-4CB3-9377-CDE4DF68604A}"/>
    <dataValidation type="list" allowBlank="1" showInputMessage="1" showErrorMessage="1" prompt="Choose currency to use from dropdown list_x000a_" sqref="H2:H3" xr:uid="{2398E67A-7E0C-4912-973D-6ABF3FEB020B}">
      <formula1>$B$541:$B$544</formula1>
    </dataValidation>
    <dataValidation type="list" allowBlank="1" showInputMessage="1" prompt="Select your institution from the drop-down list, or enter if not listed" sqref="B2:B3" xr:uid="{748C55F1-285D-447F-9A22-02644C5E4173}">
      <formula1>$U$520:$U$527</formula1>
    </dataValidation>
    <dataValidation type="list" allowBlank="1" showInputMessage="1" showErrorMessage="1" prompt="Choose specimen category" sqref="B27" xr:uid="{002F2509-52BF-4783-A065-B14EB7C08F74}">
      <formula1>$B$520:$B$530</formula1>
    </dataValidation>
    <dataValidation type="list" errorStyle="information" allowBlank="1" showInputMessage="1" prompt="Choose typical batch size (or enter own value)" sqref="C31" xr:uid="{054A017A-0A75-4AA1-AE55-AA468359D7AD}">
      <formula1>$H$520:$H$530</formula1>
    </dataValidation>
    <dataValidation type="list" allowBlank="1" showInputMessage="1" showErrorMessage="1" prompt="Choose unit of digitisation" sqref="B30" xr:uid="{DF884DD3-A6BC-4D24-AAC1-B0BFBE4DC6A7}">
      <formula1>$E$520:$E$524</formula1>
    </dataValidation>
    <dataValidation type="list" allowBlank="1" showInputMessage="1" showErrorMessage="1" prompt="Select number of staff needed for digitisation (additional to number of fixed staff, above)" sqref="C33" xr:uid="{C66633E4-DB7E-4673-A554-C14F5F6DF75E}">
      <formula1>$P$520:$P$532</formula1>
    </dataValidation>
    <dataValidation type="list" allowBlank="1" showInputMessage="1" showErrorMessage="1" prompt="Choose type of process" sqref="B29" xr:uid="{E30F18F3-ADE4-4F9D-9BFB-EA476ACD1BE5}">
      <formula1>$M$520:$M$523</formula1>
    </dataValidation>
    <dataValidation type="list" allowBlank="1" showInputMessage="1" showErrorMessage="1" prompt="Choose type of workflow" sqref="B28" xr:uid="{F2C0B9D7-07CF-4E27-B783-4B314F878C1D}">
      <formula1>$J$520:$J$523</formula1>
    </dataValidation>
    <dataValidation allowBlank="1" showInputMessage="1" showErrorMessage="1" prompt="This cell not currently used" sqref="C17" xr:uid="{AA59A68D-B194-45DF-AADF-B28E1FF6BD10}"/>
    <dataValidation allowBlank="1" showInputMessage="1" showErrorMessage="1" prompt="Enter in minutes. Add up for all persons involved. See Instructions sheet for explanation of the tasks_x000a_" sqref="F27:F31" xr:uid="{EF5FF688-364D-49AD-AEC2-751EA401EF43}"/>
    <dataValidation allowBlank="1" showInputMessage="1" showErrorMessage="1" prompt="Only enter a value here if you do not know the split across the above 5 task clusters" sqref="F34" xr:uid="{692691E3-067F-434C-A203-21C6AC661712}"/>
    <dataValidation allowBlank="1" showInputMessage="1" showErrorMessage="1" prompt="Number of hours in working week (change if necessary)" sqref="C35" xr:uid="{DDD18774-FC74-4DCA-A16B-8E90CE8627DA}"/>
    <dataValidation allowBlank="1" showInputMessage="1" showErrorMessage="1" prompt="Enter monthly average gross salary for number of staff selected above" sqref="C34" xr:uid="{0A7213AB-09D9-4467-80BA-78E303463E8C}"/>
    <dataValidation allowBlank="1" showInputMessage="1" showErrorMessage="1" prompt="Enter room area of your digitisation facility" sqref="C15" xr:uid="{27605328-B751-4D53-A7C8-43DB8EEE032E}"/>
    <dataValidation type="decimal" allowBlank="1" showInputMessage="1" showErrorMessage="1" prompt="Enter depreciation period in years (straight line depreciation will be used)" sqref="C14" xr:uid="{C9E44E5D-5372-4BD7-9680-46F57C295AEF}">
      <formula1>1</formula1>
      <formula2>7</formula2>
    </dataValidation>
    <dataValidation type="decimal" showInputMessage="1" showErrorMessage="1" prompt="Enter value between 0 and 20 for number of fixed staff supporting the facility i.e., even if no digitisation is occurring. Part FTE allowed." sqref="C16" xr:uid="{1C83E319-74B5-42F6-BC43-4C8AE3E051C1}">
      <formula1>0</formula1>
      <formula2>20</formula2>
    </dataValidation>
  </dataValidations>
  <hyperlinks>
    <hyperlink ref="B553" r:id="rId1" xr:uid="{0B919E19-6E54-4DC5-ACF1-C85B431417D1}"/>
  </hyperlinks>
  <pageMargins left="0.7" right="0.7" top="0.75" bottom="0.75" header="0.3" footer="0.3"/>
  <pageSetup paperSize="9" orientation="portrait" horizontalDpi="4294967293"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5A9F4-0CAE-4C88-9CB2-5D6371B1A56E}">
  <dimension ref="A2:AV597"/>
  <sheetViews>
    <sheetView workbookViewId="0">
      <selection activeCell="C7" sqref="C7"/>
    </sheetView>
  </sheetViews>
  <sheetFormatPr defaultColWidth="8.7109375" defaultRowHeight="15" x14ac:dyDescent="0.25"/>
  <cols>
    <col min="1" max="1" width="1.5703125" style="14" customWidth="1"/>
    <col min="2" max="2" width="55.5703125" style="14" bestFit="1" customWidth="1"/>
    <col min="3" max="3" width="10.28515625" style="14" bestFit="1" customWidth="1"/>
    <col min="4" max="4" width="8.7109375" style="14"/>
    <col min="5" max="5" width="29.85546875" style="32" customWidth="1"/>
    <col min="6" max="6" width="10.28515625" style="14" bestFit="1" customWidth="1"/>
    <col min="7" max="7" width="8.7109375" style="14"/>
    <col min="8" max="8" width="24.85546875" style="14" bestFit="1" customWidth="1"/>
    <col min="9" max="9" width="11.42578125" style="14" bestFit="1" customWidth="1"/>
    <col min="10" max="10" width="1.140625" style="14" customWidth="1"/>
    <col min="11" max="16384" width="8.7109375" style="14"/>
  </cols>
  <sheetData>
    <row r="2" spans="1:14" ht="42.6" customHeight="1" x14ac:dyDescent="0.25">
      <c r="B2" s="1" t="s">
        <v>146</v>
      </c>
      <c r="C2" s="57" t="str">
        <f>_xlfn.SWITCH($B$2, "APM","Belgium","LUOMUS","Finland","MNHN","France","Naturalis","Netherlands","NHMUK","UK","RBGK","UK","UTARTU","Estonia","- -")</f>
        <v>- -</v>
      </c>
      <c r="D2" s="85" t="s">
        <v>147</v>
      </c>
      <c r="E2" s="86"/>
      <c r="F2" s="87"/>
      <c r="H2" s="80" t="s">
        <v>76</v>
      </c>
    </row>
    <row r="3" spans="1:14" ht="42.6" customHeight="1" x14ac:dyDescent="0.25">
      <c r="C3" s="57"/>
      <c r="D3" s="88"/>
      <c r="E3" s="89"/>
      <c r="F3" s="90"/>
    </row>
    <row r="5" spans="1:14" x14ac:dyDescent="0.25">
      <c r="A5" s="9"/>
      <c r="B5" s="15" t="s">
        <v>30</v>
      </c>
      <c r="C5" s="16"/>
      <c r="D5" s="16"/>
      <c r="E5" s="17"/>
      <c r="F5" s="16"/>
      <c r="G5" s="16"/>
      <c r="H5" s="16"/>
      <c r="I5" s="18"/>
    </row>
    <row r="6" spans="1:14" ht="14.45" customHeight="1" x14ac:dyDescent="0.25">
      <c r="A6" s="48"/>
      <c r="B6" s="36" t="s">
        <v>22</v>
      </c>
      <c r="C6" s="2">
        <v>50000</v>
      </c>
      <c r="D6" s="20"/>
      <c r="E6" s="49" t="s">
        <v>54</v>
      </c>
      <c r="F6" s="2"/>
      <c r="G6" s="20"/>
      <c r="H6" s="20"/>
      <c r="I6" s="22"/>
    </row>
    <row r="7" spans="1:14" ht="14.45" customHeight="1" x14ac:dyDescent="0.25">
      <c r="A7" s="9"/>
      <c r="B7" s="36" t="s">
        <v>140</v>
      </c>
      <c r="C7" s="2"/>
      <c r="D7" s="20"/>
      <c r="E7" s="20"/>
      <c r="F7" s="20"/>
      <c r="G7" s="20"/>
      <c r="H7" s="20"/>
      <c r="I7" s="22"/>
    </row>
    <row r="8" spans="1:14" ht="14.45" customHeight="1" x14ac:dyDescent="0.25">
      <c r="A8" s="9"/>
      <c r="B8" s="53" t="s">
        <v>144</v>
      </c>
      <c r="C8" s="20"/>
      <c r="D8" s="20"/>
      <c r="E8" s="20"/>
      <c r="F8" s="20"/>
      <c r="G8" s="20"/>
      <c r="H8" s="20"/>
      <c r="I8" s="22"/>
    </row>
    <row r="9" spans="1:14" ht="45" customHeight="1" x14ac:dyDescent="0.25">
      <c r="A9" s="9"/>
      <c r="B9" s="83" t="s">
        <v>166</v>
      </c>
      <c r="C9" s="84"/>
      <c r="D9" s="84"/>
      <c r="E9" s="84"/>
      <c r="F9" s="84"/>
      <c r="G9" s="84"/>
      <c r="H9" s="29"/>
      <c r="I9" s="35"/>
      <c r="K9" s="70" t="s">
        <v>76</v>
      </c>
      <c r="L9" s="71" t="s">
        <v>91</v>
      </c>
      <c r="M9" s="65"/>
      <c r="N9" s="65"/>
    </row>
    <row r="10" spans="1:14" ht="14.45" customHeight="1" x14ac:dyDescent="0.25">
      <c r="A10" s="9"/>
      <c r="B10" s="10"/>
      <c r="C10" s="11"/>
      <c r="D10" s="11"/>
      <c r="E10" s="11"/>
      <c r="F10" s="11"/>
      <c r="G10" s="12"/>
      <c r="H10" s="46" t="s">
        <v>29</v>
      </c>
      <c r="I10" s="58">
        <f>C6+F6</f>
        <v>50000</v>
      </c>
      <c r="K10" s="68">
        <f>$I$10*VLOOKUP($H$2,$B$547:$C$549,2,)</f>
        <v>50000</v>
      </c>
      <c r="L10" s="68">
        <f>$I$10*VLOOKUP($H$2,$B$547:$C$549,2,)*100/VLOOKUP($C$2,$B$555:$C$597,2,)</f>
        <v>50000</v>
      </c>
    </row>
    <row r="11" spans="1:14" ht="14.45" customHeight="1" x14ac:dyDescent="0.25">
      <c r="A11" s="9"/>
      <c r="B11" s="9"/>
      <c r="C11" s="9"/>
      <c r="D11" s="9"/>
      <c r="E11" s="9"/>
      <c r="F11" s="9"/>
      <c r="G11" s="9"/>
      <c r="H11" s="47"/>
    </row>
    <row r="12" spans="1:14" ht="14.45" customHeight="1" x14ac:dyDescent="0.25">
      <c r="B12" s="15" t="s">
        <v>27</v>
      </c>
      <c r="C12" s="16"/>
      <c r="D12" s="16"/>
      <c r="E12" s="16"/>
      <c r="F12" s="16"/>
      <c r="G12" s="16"/>
      <c r="H12" s="16"/>
      <c r="I12" s="18"/>
    </row>
    <row r="13" spans="1:14" ht="14.45" customHeight="1" x14ac:dyDescent="0.25">
      <c r="B13" s="19"/>
      <c r="C13" s="20"/>
      <c r="D13" s="20"/>
      <c r="E13" s="20"/>
      <c r="F13" s="20"/>
      <c r="G13" s="20"/>
      <c r="H13" s="29" t="s">
        <v>26</v>
      </c>
      <c r="I13" s="22"/>
    </row>
    <row r="14" spans="1:14" x14ac:dyDescent="0.25">
      <c r="A14" s="44"/>
      <c r="B14" s="36" t="s">
        <v>133</v>
      </c>
      <c r="C14" s="2">
        <v>7</v>
      </c>
      <c r="D14" s="20"/>
      <c r="E14" s="21"/>
      <c r="F14" s="20"/>
      <c r="G14" s="20"/>
      <c r="H14" s="20" t="s">
        <v>25</v>
      </c>
      <c r="I14" s="24">
        <f>(C6+C7)/C14</f>
        <v>7142.8571428571431</v>
      </c>
    </row>
    <row r="15" spans="1:14" ht="17.25" x14ac:dyDescent="0.25">
      <c r="B15" s="36" t="s">
        <v>20</v>
      </c>
      <c r="C15" s="3">
        <v>12</v>
      </c>
      <c r="D15" s="20"/>
      <c r="E15" s="21" t="s">
        <v>21</v>
      </c>
      <c r="F15" s="59">
        <v>0</v>
      </c>
      <c r="G15" s="20"/>
      <c r="H15" s="20" t="s">
        <v>60</v>
      </c>
      <c r="I15" s="24">
        <f>C15*F15*12</f>
        <v>0</v>
      </c>
    </row>
    <row r="16" spans="1:14" x14ac:dyDescent="0.25">
      <c r="B16" s="36" t="s">
        <v>142</v>
      </c>
      <c r="C16" s="4">
        <v>0</v>
      </c>
      <c r="D16" s="20"/>
      <c r="E16" s="21" t="s">
        <v>141</v>
      </c>
      <c r="F16" s="2">
        <v>6081</v>
      </c>
      <c r="G16" s="20"/>
      <c r="H16" s="20" t="s">
        <v>61</v>
      </c>
      <c r="I16" s="24">
        <f>C16*F16*12</f>
        <v>0</v>
      </c>
    </row>
    <row r="17" spans="1:48" x14ac:dyDescent="0.25">
      <c r="B17" s="36"/>
      <c r="C17" s="76"/>
      <c r="D17" s="20"/>
      <c r="E17" s="21" t="s">
        <v>51</v>
      </c>
      <c r="F17" s="2">
        <v>1500</v>
      </c>
      <c r="G17" s="20"/>
      <c r="H17" s="20" t="s">
        <v>62</v>
      </c>
      <c r="I17" s="24">
        <f>F17*12</f>
        <v>18000</v>
      </c>
    </row>
    <row r="18" spans="1:48" x14ac:dyDescent="0.25">
      <c r="B18" s="36"/>
      <c r="C18" s="77"/>
      <c r="D18" s="20"/>
      <c r="E18" s="21" t="s">
        <v>53</v>
      </c>
      <c r="F18" s="2"/>
      <c r="G18" s="20"/>
      <c r="H18" s="20" t="s">
        <v>52</v>
      </c>
      <c r="I18" s="24">
        <f>F18*12</f>
        <v>0</v>
      </c>
    </row>
    <row r="19" spans="1:48" x14ac:dyDescent="0.25">
      <c r="B19" s="75"/>
      <c r="C19" s="73"/>
      <c r="D19" s="42"/>
      <c r="E19" s="91" t="s">
        <v>138</v>
      </c>
      <c r="F19" s="91"/>
      <c r="G19" s="20"/>
      <c r="H19" s="20"/>
      <c r="I19" s="22"/>
    </row>
    <row r="20" spans="1:48" x14ac:dyDescent="0.25">
      <c r="B20" s="74"/>
      <c r="C20" s="20"/>
      <c r="D20" s="20"/>
      <c r="E20" s="91" t="s">
        <v>139</v>
      </c>
      <c r="F20" s="91"/>
      <c r="G20" s="20"/>
      <c r="H20" s="26"/>
      <c r="I20" s="22"/>
      <c r="AV20" s="33"/>
    </row>
    <row r="21" spans="1:48" x14ac:dyDescent="0.25">
      <c r="B21" s="53" t="s">
        <v>143</v>
      </c>
      <c r="C21" s="20"/>
      <c r="D21" s="20"/>
      <c r="E21" s="21"/>
      <c r="F21" s="20"/>
      <c r="G21" s="20"/>
      <c r="H21" s="26"/>
      <c r="I21" s="22"/>
      <c r="AV21" s="33"/>
    </row>
    <row r="22" spans="1:48" ht="45" customHeight="1" x14ac:dyDescent="0.25">
      <c r="A22" s="9"/>
      <c r="B22" s="83"/>
      <c r="C22" s="84"/>
      <c r="D22" s="84"/>
      <c r="E22" s="84"/>
      <c r="F22" s="84"/>
      <c r="G22" s="84"/>
      <c r="H22" s="29"/>
      <c r="I22" s="35"/>
      <c r="K22" s="70" t="s">
        <v>76</v>
      </c>
      <c r="L22" s="71" t="s">
        <v>91</v>
      </c>
    </row>
    <row r="23" spans="1:48" ht="14.45" customHeight="1" x14ac:dyDescent="0.25">
      <c r="A23" s="9"/>
      <c r="B23" s="10"/>
      <c r="C23" s="11"/>
      <c r="D23" s="11"/>
      <c r="E23" s="11"/>
      <c r="F23" s="11"/>
      <c r="G23" s="12"/>
      <c r="H23" s="43" t="s">
        <v>24</v>
      </c>
      <c r="I23" s="58">
        <f>SUM(I14, I15, I16, I17, I18)</f>
        <v>25142.857142857145</v>
      </c>
      <c r="K23" s="68">
        <f>$I$23*VLOOKUP($H$2,$B$547:$C$549,2,)</f>
        <v>25142.857142857145</v>
      </c>
      <c r="L23" s="68">
        <f>$I$23*VLOOKUP($H$2,$B$547:$C$549,2,)*100/VLOOKUP($C$2,$B$555:$C$597,2,)</f>
        <v>25142.857142857145</v>
      </c>
    </row>
    <row r="24" spans="1:48" x14ac:dyDescent="0.25">
      <c r="H24" s="44"/>
      <c r="AV24" s="33"/>
    </row>
    <row r="25" spans="1:48" ht="15.95" customHeight="1" x14ac:dyDescent="0.25">
      <c r="B25" s="15" t="s">
        <v>28</v>
      </c>
      <c r="C25" s="16"/>
      <c r="D25" s="16"/>
      <c r="E25" s="17"/>
      <c r="F25" s="81" t="s">
        <v>131</v>
      </c>
      <c r="G25" s="81" t="s">
        <v>40</v>
      </c>
      <c r="H25" s="16"/>
      <c r="I25" s="18"/>
      <c r="AQ25" s="33"/>
      <c r="AR25" s="33"/>
      <c r="AS25" s="33"/>
      <c r="AT25" s="33"/>
      <c r="AU25" s="33"/>
      <c r="AV25" s="33"/>
    </row>
    <row r="26" spans="1:48" ht="15.95" customHeight="1" x14ac:dyDescent="0.25">
      <c r="B26" s="19" t="s">
        <v>37</v>
      </c>
      <c r="C26" s="20"/>
      <c r="D26" s="29" t="s">
        <v>14</v>
      </c>
      <c r="E26" s="21"/>
      <c r="F26" s="82"/>
      <c r="G26" s="82"/>
      <c r="H26" s="45" t="s">
        <v>32</v>
      </c>
      <c r="I26" s="22"/>
      <c r="AU26" s="33"/>
      <c r="AV26" s="33"/>
    </row>
    <row r="27" spans="1:48" x14ac:dyDescent="0.25">
      <c r="B27" s="5" t="s">
        <v>0</v>
      </c>
      <c r="C27" s="42"/>
      <c r="D27" s="42" t="s">
        <v>44</v>
      </c>
      <c r="E27" s="21"/>
      <c r="F27" s="54"/>
      <c r="G27" s="41">
        <f>F27*C31/60</f>
        <v>0</v>
      </c>
      <c r="H27" s="39"/>
      <c r="I27" s="24">
        <f>G27*C36*C32*12</f>
        <v>0</v>
      </c>
      <c r="AV27" s="33"/>
    </row>
    <row r="28" spans="1:48" ht="15" customHeight="1" x14ac:dyDescent="0.25">
      <c r="B28" s="5" t="s">
        <v>41</v>
      </c>
      <c r="C28" s="42"/>
      <c r="D28" s="42" t="s">
        <v>73</v>
      </c>
      <c r="E28" s="21"/>
      <c r="F28" s="54"/>
      <c r="G28" s="41">
        <f>F28*C31/60</f>
        <v>0</v>
      </c>
      <c r="H28" s="39"/>
      <c r="I28" s="24">
        <f>G28*C36*C32*12</f>
        <v>0</v>
      </c>
    </row>
    <row r="29" spans="1:48" x14ac:dyDescent="0.25">
      <c r="B29" s="5" t="s">
        <v>1</v>
      </c>
      <c r="C29" s="20"/>
      <c r="D29" s="42" t="s">
        <v>45</v>
      </c>
      <c r="E29" s="21"/>
      <c r="F29" s="54"/>
      <c r="G29" s="41">
        <f>F29*C31/60</f>
        <v>0</v>
      </c>
      <c r="H29" s="39"/>
      <c r="I29" s="24">
        <f>G29*C36*C32*12</f>
        <v>0</v>
      </c>
    </row>
    <row r="30" spans="1:48" x14ac:dyDescent="0.25">
      <c r="B30" s="5" t="s">
        <v>15</v>
      </c>
      <c r="C30" s="21"/>
      <c r="D30" s="42" t="s">
        <v>74</v>
      </c>
      <c r="E30" s="21"/>
      <c r="F30" s="54"/>
      <c r="G30" s="41">
        <f>F30*C31/60</f>
        <v>0</v>
      </c>
      <c r="H30" s="39"/>
      <c r="I30" s="24">
        <f>G30*C36*C32*12</f>
        <v>0</v>
      </c>
    </row>
    <row r="31" spans="1:48" x14ac:dyDescent="0.25">
      <c r="B31" s="23" t="s">
        <v>136</v>
      </c>
      <c r="C31" s="7">
        <v>1</v>
      </c>
      <c r="D31" s="42" t="s">
        <v>46</v>
      </c>
      <c r="E31" s="21"/>
      <c r="F31" s="54"/>
      <c r="G31" s="41">
        <f>F31*C31/60</f>
        <v>0</v>
      </c>
      <c r="H31" s="39"/>
      <c r="I31" s="24">
        <f>G31*C36*C32*12</f>
        <v>0</v>
      </c>
    </row>
    <row r="32" spans="1:48" x14ac:dyDescent="0.25">
      <c r="B32" s="23" t="s">
        <v>48</v>
      </c>
      <c r="C32" s="6">
        <v>200</v>
      </c>
      <c r="D32" s="42"/>
      <c r="E32" s="21"/>
      <c r="F32" s="20"/>
      <c r="G32" s="20"/>
      <c r="H32" s="39"/>
      <c r="I32" s="22"/>
    </row>
    <row r="33" spans="1:12" x14ac:dyDescent="0.25">
      <c r="B33" s="23" t="s">
        <v>58</v>
      </c>
      <c r="C33" s="7">
        <v>1</v>
      </c>
      <c r="D33" s="20"/>
      <c r="E33" s="42" t="s">
        <v>47</v>
      </c>
      <c r="F33" s="20"/>
      <c r="G33" s="20"/>
      <c r="H33" s="20"/>
      <c r="I33" s="22"/>
    </row>
    <row r="34" spans="1:12" x14ac:dyDescent="0.25">
      <c r="B34" s="23" t="s">
        <v>23</v>
      </c>
      <c r="C34" s="60">
        <v>6081</v>
      </c>
      <c r="D34" s="21"/>
      <c r="E34" s="21" t="s">
        <v>57</v>
      </c>
      <c r="F34" s="8">
        <v>45</v>
      </c>
      <c r="G34" s="20"/>
      <c r="H34" s="20"/>
      <c r="I34" s="22"/>
    </row>
    <row r="35" spans="1:12" x14ac:dyDescent="0.25">
      <c r="B35" s="23" t="s">
        <v>39</v>
      </c>
      <c r="C35" s="7">
        <v>38</v>
      </c>
      <c r="D35" s="20"/>
      <c r="E35" s="21"/>
      <c r="F35" s="20"/>
      <c r="G35" s="20"/>
      <c r="H35" s="20"/>
      <c r="I35" s="22"/>
    </row>
    <row r="36" spans="1:12" x14ac:dyDescent="0.25">
      <c r="B36" s="36" t="s">
        <v>63</v>
      </c>
      <c r="C36" s="61">
        <f>C33*C34/4.333/C35</f>
        <v>36.931990719933921</v>
      </c>
      <c r="D36" s="20"/>
      <c r="E36" s="21" t="s">
        <v>132</v>
      </c>
      <c r="F36" s="37">
        <f>IF(F34=0,SUM(F27:F31),F34)</f>
        <v>45</v>
      </c>
      <c r="G36" s="38">
        <f>IF(F34=0,F36*C31/60,F34*C31/60)</f>
        <v>0.75</v>
      </c>
      <c r="H36" s="20"/>
      <c r="I36" s="22"/>
    </row>
    <row r="37" spans="1:12" x14ac:dyDescent="0.25">
      <c r="B37" s="36"/>
      <c r="C37" s="39"/>
      <c r="D37" s="20"/>
      <c r="E37" s="40"/>
      <c r="F37" s="26"/>
      <c r="G37" s="26"/>
      <c r="H37" s="20"/>
      <c r="I37" s="22"/>
    </row>
    <row r="38" spans="1:12" x14ac:dyDescent="0.25">
      <c r="B38" s="23" t="s">
        <v>134</v>
      </c>
      <c r="C38" s="39"/>
      <c r="D38" s="20"/>
      <c r="E38" s="40"/>
      <c r="F38" s="26"/>
      <c r="G38" s="26"/>
      <c r="H38" s="20"/>
      <c r="I38" s="22"/>
    </row>
    <row r="39" spans="1:12" x14ac:dyDescent="0.25">
      <c r="B39" s="23" t="s">
        <v>135</v>
      </c>
      <c r="C39" s="62"/>
      <c r="D39" s="20"/>
      <c r="E39" s="21"/>
      <c r="F39" s="20"/>
      <c r="G39" s="41"/>
      <c r="H39" s="20" t="s">
        <v>56</v>
      </c>
      <c r="I39" s="24">
        <f>C39*C32*12</f>
        <v>0</v>
      </c>
    </row>
    <row r="40" spans="1:12" ht="14.45" customHeight="1" x14ac:dyDescent="0.25">
      <c r="B40" s="23"/>
      <c r="C40" s="39"/>
      <c r="D40" s="20"/>
      <c r="E40" s="21"/>
      <c r="F40" s="20"/>
      <c r="G40" s="41"/>
      <c r="H40" s="20"/>
      <c r="I40" s="35"/>
    </row>
    <row r="41" spans="1:12" ht="14.45" customHeight="1" x14ac:dyDescent="0.25">
      <c r="B41" s="50" t="s">
        <v>72</v>
      </c>
      <c r="C41" s="51"/>
      <c r="D41" s="51"/>
      <c r="E41" s="51"/>
      <c r="F41" s="51"/>
      <c r="G41" s="52"/>
      <c r="H41" s="20"/>
      <c r="I41" s="35"/>
    </row>
    <row r="42" spans="1:12" ht="45" customHeight="1" x14ac:dyDescent="0.25">
      <c r="A42" s="9"/>
      <c r="B42" s="83" t="s">
        <v>163</v>
      </c>
      <c r="C42" s="84"/>
      <c r="D42" s="84"/>
      <c r="E42" s="84"/>
      <c r="F42" s="84"/>
      <c r="G42" s="84"/>
      <c r="H42" s="29"/>
      <c r="I42" s="35"/>
      <c r="K42" s="70" t="s">
        <v>76</v>
      </c>
      <c r="L42" s="71" t="s">
        <v>91</v>
      </c>
    </row>
    <row r="43" spans="1:12" x14ac:dyDescent="0.25">
      <c r="A43" s="9"/>
      <c r="B43" s="10"/>
      <c r="C43" s="11"/>
      <c r="D43" s="11"/>
      <c r="E43" s="11"/>
      <c r="F43" s="11"/>
      <c r="G43" s="12"/>
      <c r="H43" s="13" t="s">
        <v>55</v>
      </c>
      <c r="I43" s="58">
        <f>IF(F34=0, SUM(I27:I31, I39), (G36*C36*C32*12)+I39)</f>
        <v>66477.583295881064</v>
      </c>
      <c r="K43" s="68">
        <f>$I$43*VLOOKUP($H$2,$B$547:$C$549,2,)</f>
        <v>66477.583295881064</v>
      </c>
      <c r="L43" s="68">
        <f>$I$43*VLOOKUP($H$2,$B$547:$C$549,2,)*100/VLOOKUP($C$2,$B$555:$C$597,2,)</f>
        <v>66477.583295881064</v>
      </c>
    </row>
    <row r="49" spans="2:12" x14ac:dyDescent="0.25">
      <c r="B49" s="15" t="s">
        <v>66</v>
      </c>
      <c r="C49" s="16"/>
      <c r="D49" s="16"/>
      <c r="E49" s="17"/>
      <c r="F49" s="16"/>
      <c r="G49" s="16"/>
      <c r="H49" s="16"/>
      <c r="I49" s="18"/>
    </row>
    <row r="50" spans="2:12" x14ac:dyDescent="0.25">
      <c r="B50" s="19"/>
      <c r="C50" s="20"/>
      <c r="D50" s="20"/>
      <c r="E50" s="21"/>
      <c r="F50" s="20"/>
      <c r="G50" s="20"/>
      <c r="H50" s="20"/>
      <c r="I50" s="22"/>
    </row>
    <row r="51" spans="2:12" x14ac:dyDescent="0.25">
      <c r="B51" s="19" t="s">
        <v>64</v>
      </c>
      <c r="C51" s="24">
        <f>C36+(C16*F16*12/52/C35)</f>
        <v>36.931990719933921</v>
      </c>
      <c r="D51" s="20"/>
      <c r="E51" s="21"/>
      <c r="F51" s="20"/>
      <c r="G51" s="20"/>
      <c r="H51" s="20"/>
      <c r="I51" s="22"/>
    </row>
    <row r="52" spans="2:12" x14ac:dyDescent="0.25">
      <c r="B52" s="19" t="s">
        <v>65</v>
      </c>
      <c r="C52" s="24">
        <f>I23</f>
        <v>25142.857142857145</v>
      </c>
      <c r="D52" s="20"/>
      <c r="E52" s="21"/>
      <c r="F52" s="20"/>
      <c r="G52" s="20"/>
      <c r="H52" s="20"/>
      <c r="I52" s="22"/>
    </row>
    <row r="53" spans="2:12" x14ac:dyDescent="0.25">
      <c r="B53" s="23" t="s">
        <v>67</v>
      </c>
      <c r="C53" s="24">
        <f>G36*C36+C39</f>
        <v>27.698993039950441</v>
      </c>
      <c r="D53" s="20"/>
      <c r="E53" s="20"/>
      <c r="F53" s="20"/>
      <c r="G53" s="20"/>
      <c r="H53" s="20"/>
      <c r="I53" s="22"/>
    </row>
    <row r="54" spans="2:12" x14ac:dyDescent="0.25">
      <c r="B54" s="19"/>
      <c r="C54" s="20"/>
      <c r="D54" s="20"/>
      <c r="E54" s="21"/>
      <c r="F54" s="20"/>
      <c r="G54" s="20"/>
      <c r="H54" s="20"/>
      <c r="I54" s="22"/>
    </row>
    <row r="55" spans="2:12" x14ac:dyDescent="0.25">
      <c r="B55" s="19" t="s">
        <v>68</v>
      </c>
      <c r="C55" s="24">
        <f>C32*12</f>
        <v>2400</v>
      </c>
      <c r="D55" s="20"/>
      <c r="E55" s="21"/>
      <c r="F55" s="20"/>
      <c r="G55" s="20"/>
      <c r="H55" s="20"/>
      <c r="I55" s="22"/>
    </row>
    <row r="56" spans="2:12" x14ac:dyDescent="0.25">
      <c r="B56" s="19" t="s">
        <v>69</v>
      </c>
      <c r="C56" s="24">
        <f>C55*C31</f>
        <v>2400</v>
      </c>
      <c r="D56" s="20"/>
      <c r="E56" s="21"/>
      <c r="F56" s="20"/>
      <c r="G56" s="20"/>
      <c r="H56" s="20"/>
      <c r="I56" s="22"/>
    </row>
    <row r="57" spans="2:12" x14ac:dyDescent="0.25">
      <c r="B57" s="19"/>
      <c r="C57" s="25"/>
      <c r="D57" s="20"/>
      <c r="E57" s="21"/>
      <c r="F57" s="20"/>
      <c r="G57" s="20"/>
      <c r="H57" s="20"/>
      <c r="I57" s="22"/>
      <c r="K57" s="70" t="s">
        <v>76</v>
      </c>
      <c r="L57" s="71" t="s">
        <v>91</v>
      </c>
    </row>
    <row r="58" spans="2:12" x14ac:dyDescent="0.25">
      <c r="B58" s="19"/>
      <c r="C58" s="20"/>
      <c r="D58" s="20"/>
      <c r="E58" s="21"/>
      <c r="F58" s="20"/>
      <c r="G58" s="20"/>
      <c r="H58" s="26"/>
      <c r="I58" s="27"/>
    </row>
    <row r="59" spans="2:12" x14ac:dyDescent="0.25">
      <c r="B59" s="28" t="s">
        <v>71</v>
      </c>
      <c r="C59" s="58">
        <f>C53+(C52/C55)</f>
        <v>38.175183516140919</v>
      </c>
      <c r="D59" s="20"/>
      <c r="E59" s="21"/>
      <c r="F59" s="20"/>
      <c r="G59" s="20"/>
      <c r="H59" s="29" t="s">
        <v>59</v>
      </c>
      <c r="I59" s="58">
        <f>C53*C55+C52</f>
        <v>91620.440438738209</v>
      </c>
      <c r="K59" s="68">
        <f>$I$59*VLOOKUP($H$2,$B$547:$C$549,2,)</f>
        <v>91620.440438738209</v>
      </c>
      <c r="L59" s="68">
        <f>$I$59*VLOOKUP($H$2,$B$547:$C$549,2,)*100/VLOOKUP($C$2,$B$555:$C$597,2,)</f>
        <v>91620.440438738209</v>
      </c>
    </row>
    <row r="60" spans="2:12" x14ac:dyDescent="0.25">
      <c r="B60" s="30" t="s">
        <v>70</v>
      </c>
      <c r="C60" s="58">
        <f>C59/C31</f>
        <v>38.175183516140919</v>
      </c>
      <c r="D60" s="12"/>
      <c r="E60" s="31"/>
      <c r="F60" s="12"/>
      <c r="G60" s="12"/>
      <c r="H60" s="12"/>
      <c r="I60" s="27"/>
    </row>
    <row r="62" spans="2:12" x14ac:dyDescent="0.25">
      <c r="C62" s="66" t="s">
        <v>76</v>
      </c>
      <c r="D62" s="67" t="s">
        <v>91</v>
      </c>
    </row>
    <row r="63" spans="2:12" x14ac:dyDescent="0.25">
      <c r="B63" s="44" t="s">
        <v>71</v>
      </c>
      <c r="C63" s="68">
        <f>$C$59*VLOOKUP($H$2,$B$547:$C$549,2,)</f>
        <v>38.175183516140919</v>
      </c>
      <c r="D63" s="68">
        <f>$C$59*VLOOKUP($H$2,$B$547:$C$549,2,)*100/VLOOKUP($C$2,$B$555:$C$597,2,)</f>
        <v>38.175183516140919</v>
      </c>
    </row>
    <row r="64" spans="2:12" x14ac:dyDescent="0.25">
      <c r="B64" s="44" t="s">
        <v>70</v>
      </c>
      <c r="C64" s="69">
        <f>$C$60*VLOOKUP($H$2,$B$547:$C$549,2,)</f>
        <v>38.175183516140919</v>
      </c>
      <c r="D64" s="69">
        <f>$C$60*VLOOKUP($H$2,$B$547:$C$549,2,)*100/VLOOKUP($C$2,$B$555:$C$597,2,)</f>
        <v>38.175183516140919</v>
      </c>
    </row>
    <row r="517" spans="2:21" x14ac:dyDescent="0.25">
      <c r="B517" s="14" t="s">
        <v>50</v>
      </c>
    </row>
    <row r="520" spans="2:21" x14ac:dyDescent="0.25">
      <c r="B520" s="14" t="s">
        <v>31</v>
      </c>
      <c r="E520" s="33" t="s">
        <v>33</v>
      </c>
      <c r="H520" s="33" t="s">
        <v>34</v>
      </c>
      <c r="J520" s="33" t="s">
        <v>35</v>
      </c>
      <c r="M520" s="33" t="s">
        <v>36</v>
      </c>
      <c r="P520" s="14" t="s">
        <v>38</v>
      </c>
      <c r="Q520" s="33"/>
      <c r="U520" s="14" t="s">
        <v>49</v>
      </c>
    </row>
    <row r="521" spans="2:21" x14ac:dyDescent="0.25">
      <c r="B521" s="34" t="s">
        <v>137</v>
      </c>
      <c r="E521" s="33" t="s">
        <v>15</v>
      </c>
      <c r="H521" s="33">
        <v>1</v>
      </c>
      <c r="J521" s="33" t="s">
        <v>41</v>
      </c>
      <c r="M521" s="33" t="s">
        <v>1</v>
      </c>
      <c r="P521" s="14">
        <v>0</v>
      </c>
      <c r="U521" s="14" t="s">
        <v>10</v>
      </c>
    </row>
    <row r="522" spans="2:21" x14ac:dyDescent="0.25">
      <c r="B522" s="34" t="s">
        <v>18</v>
      </c>
      <c r="E522" s="33" t="s">
        <v>16</v>
      </c>
      <c r="H522" s="33">
        <v>10</v>
      </c>
      <c r="J522" s="33" t="s">
        <v>42</v>
      </c>
      <c r="M522" s="33" t="s">
        <v>2</v>
      </c>
      <c r="P522" s="14">
        <v>1</v>
      </c>
      <c r="U522" s="14" t="s">
        <v>12</v>
      </c>
    </row>
    <row r="523" spans="2:21" x14ac:dyDescent="0.25">
      <c r="B523" s="34" t="s">
        <v>4</v>
      </c>
      <c r="E523" s="33" t="s">
        <v>17</v>
      </c>
      <c r="H523" s="33">
        <v>50</v>
      </c>
      <c r="J523" s="33" t="s">
        <v>43</v>
      </c>
      <c r="M523" s="33" t="s">
        <v>3</v>
      </c>
      <c r="P523" s="14">
        <v>2</v>
      </c>
      <c r="U523" s="14" t="s">
        <v>80</v>
      </c>
    </row>
    <row r="524" spans="2:21" x14ac:dyDescent="0.25">
      <c r="B524" s="34" t="s">
        <v>5</v>
      </c>
      <c r="E524" s="33" t="s">
        <v>0</v>
      </c>
      <c r="H524" s="33">
        <v>100</v>
      </c>
      <c r="P524" s="14">
        <v>3</v>
      </c>
      <c r="U524" s="14" t="s">
        <v>11</v>
      </c>
    </row>
    <row r="525" spans="2:21" x14ac:dyDescent="0.25">
      <c r="B525" s="34" t="s">
        <v>6</v>
      </c>
      <c r="E525" s="14"/>
      <c r="H525" s="33">
        <v>500</v>
      </c>
      <c r="P525" s="14">
        <v>4</v>
      </c>
      <c r="U525" s="14" t="s">
        <v>82</v>
      </c>
    </row>
    <row r="526" spans="2:21" x14ac:dyDescent="0.25">
      <c r="B526" s="34" t="s">
        <v>9</v>
      </c>
      <c r="E526" s="14"/>
      <c r="H526" s="33">
        <v>1000</v>
      </c>
      <c r="P526" s="14">
        <v>5</v>
      </c>
      <c r="U526" s="14" t="s">
        <v>81</v>
      </c>
    </row>
    <row r="527" spans="2:21" x14ac:dyDescent="0.25">
      <c r="B527" s="34" t="s">
        <v>7</v>
      </c>
      <c r="E527" s="14"/>
      <c r="H527" s="33">
        <v>5000</v>
      </c>
      <c r="P527" s="14">
        <v>6</v>
      </c>
      <c r="U527" s="14" t="s">
        <v>13</v>
      </c>
    </row>
    <row r="528" spans="2:21" x14ac:dyDescent="0.25">
      <c r="B528" s="34" t="s">
        <v>8</v>
      </c>
      <c r="E528" s="14"/>
      <c r="H528" s="33">
        <v>10000</v>
      </c>
      <c r="P528" s="14">
        <v>7</v>
      </c>
    </row>
    <row r="529" spans="2:16" x14ac:dyDescent="0.25">
      <c r="B529" s="34" t="s">
        <v>19</v>
      </c>
      <c r="E529" s="14"/>
      <c r="H529" s="33">
        <v>50000</v>
      </c>
      <c r="P529" s="14">
        <v>8</v>
      </c>
    </row>
    <row r="530" spans="2:16" x14ac:dyDescent="0.25">
      <c r="B530" s="34" t="s">
        <v>0</v>
      </c>
      <c r="E530" s="14"/>
      <c r="H530" s="33">
        <v>100000</v>
      </c>
      <c r="P530" s="14">
        <v>9</v>
      </c>
    </row>
    <row r="531" spans="2:16" x14ac:dyDescent="0.25">
      <c r="E531" s="14"/>
      <c r="H531" s="33"/>
      <c r="P531" s="14">
        <v>10</v>
      </c>
    </row>
    <row r="532" spans="2:16" x14ac:dyDescent="0.25">
      <c r="E532" s="14"/>
    </row>
    <row r="533" spans="2:16" x14ac:dyDescent="0.25">
      <c r="E533" s="14"/>
    </row>
    <row r="539" spans="2:16" x14ac:dyDescent="0.25">
      <c r="B539" s="14" t="s">
        <v>78</v>
      </c>
    </row>
    <row r="541" spans="2:16" x14ac:dyDescent="0.25">
      <c r="B541" s="14" t="s">
        <v>83</v>
      </c>
    </row>
    <row r="542" spans="2:16" x14ac:dyDescent="0.25">
      <c r="B542" s="34" t="s">
        <v>76</v>
      </c>
      <c r="E542" s="34"/>
      <c r="F542" s="34"/>
      <c r="G542" s="34"/>
      <c r="H542" s="34"/>
    </row>
    <row r="543" spans="2:16" x14ac:dyDescent="0.25">
      <c r="B543" s="34" t="s">
        <v>75</v>
      </c>
      <c r="E543" s="34"/>
      <c r="F543" s="34"/>
      <c r="G543" s="34"/>
      <c r="H543" s="34"/>
    </row>
    <row r="544" spans="2:16" x14ac:dyDescent="0.25">
      <c r="B544" s="34" t="s">
        <v>77</v>
      </c>
      <c r="C544" s="34"/>
      <c r="D544" s="34"/>
      <c r="E544" s="34"/>
      <c r="F544" s="34"/>
      <c r="G544" s="34"/>
      <c r="H544" s="34"/>
    </row>
    <row r="545" spans="2:8" x14ac:dyDescent="0.25">
      <c r="C545" s="34"/>
      <c r="D545" s="34"/>
      <c r="E545" s="34"/>
      <c r="F545" s="34"/>
      <c r="G545" s="34"/>
      <c r="H545" s="34"/>
    </row>
    <row r="546" spans="2:8" x14ac:dyDescent="0.25">
      <c r="B546" s="56" t="s">
        <v>90</v>
      </c>
      <c r="C546" s="56" t="s">
        <v>79</v>
      </c>
      <c r="D546" s="56"/>
      <c r="E546" s="34"/>
      <c r="H546" s="34"/>
    </row>
    <row r="547" spans="2:8" x14ac:dyDescent="0.25">
      <c r="B547" s="34" t="s">
        <v>76</v>
      </c>
      <c r="C547" s="78">
        <v>1</v>
      </c>
      <c r="D547" s="34"/>
      <c r="E547" s="34"/>
      <c r="F547" s="34"/>
      <c r="G547" s="34"/>
      <c r="H547" s="34"/>
    </row>
    <row r="548" spans="2:8" x14ac:dyDescent="0.25">
      <c r="B548" s="34" t="s">
        <v>75</v>
      </c>
      <c r="C548" s="78">
        <v>1.1355900000000001</v>
      </c>
      <c r="D548" s="78"/>
      <c r="E548" s="34"/>
      <c r="F548" s="34"/>
      <c r="G548" s="34"/>
      <c r="H548" s="34"/>
    </row>
    <row r="549" spans="2:8" x14ac:dyDescent="0.25">
      <c r="B549" s="34" t="s">
        <v>77</v>
      </c>
      <c r="C549" s="55">
        <v>0.89676</v>
      </c>
    </row>
    <row r="552" spans="2:8" x14ac:dyDescent="0.25">
      <c r="B552" s="56" t="s">
        <v>92</v>
      </c>
      <c r="C552" s="72"/>
    </row>
    <row r="553" spans="2:8" x14ac:dyDescent="0.25">
      <c r="B553" s="79" t="s">
        <v>145</v>
      </c>
    </row>
    <row r="555" spans="2:8" x14ac:dyDescent="0.25">
      <c r="B555" s="64" t="s">
        <v>89</v>
      </c>
      <c r="C555" s="63">
        <v>100</v>
      </c>
    </row>
    <row r="556" spans="2:8" x14ac:dyDescent="0.25">
      <c r="B556" s="14" t="s">
        <v>93</v>
      </c>
      <c r="C556" s="14">
        <v>100</v>
      </c>
    </row>
    <row r="557" spans="2:8" x14ac:dyDescent="0.25">
      <c r="B557" s="14" t="s">
        <v>84</v>
      </c>
      <c r="C557" s="14">
        <v>110.8</v>
      </c>
    </row>
    <row r="558" spans="2:8" x14ac:dyDescent="0.25">
      <c r="B558" s="14" t="s">
        <v>94</v>
      </c>
      <c r="C558" s="14">
        <v>49.6</v>
      </c>
    </row>
    <row r="559" spans="2:8" x14ac:dyDescent="0.25">
      <c r="B559" s="14" t="s">
        <v>95</v>
      </c>
      <c r="C559" s="14">
        <v>68.2</v>
      </c>
    </row>
    <row r="560" spans="2:8" x14ac:dyDescent="0.25">
      <c r="B560" s="14" t="s">
        <v>96</v>
      </c>
      <c r="C560" s="14">
        <v>138.9</v>
      </c>
    </row>
    <row r="561" spans="2:3" x14ac:dyDescent="0.25">
      <c r="B561" s="14" t="s">
        <v>97</v>
      </c>
      <c r="C561" s="14">
        <v>104</v>
      </c>
    </row>
    <row r="562" spans="2:3" x14ac:dyDescent="0.25">
      <c r="B562" s="14" t="s">
        <v>88</v>
      </c>
      <c r="C562" s="14">
        <v>78.099999999999994</v>
      </c>
    </row>
    <row r="563" spans="2:3" x14ac:dyDescent="0.25">
      <c r="B563" s="14" t="s">
        <v>98</v>
      </c>
      <c r="C563" s="14">
        <v>127.2</v>
      </c>
    </row>
    <row r="564" spans="2:3" x14ac:dyDescent="0.25">
      <c r="B564" s="14" t="s">
        <v>99</v>
      </c>
      <c r="C564" s="14">
        <v>85.4</v>
      </c>
    </row>
    <row r="565" spans="2:3" x14ac:dyDescent="0.25">
      <c r="B565" s="14" t="s">
        <v>100</v>
      </c>
      <c r="C565" s="14">
        <v>92.5</v>
      </c>
    </row>
    <row r="566" spans="2:3" x14ac:dyDescent="0.25">
      <c r="B566" s="14" t="s">
        <v>86</v>
      </c>
      <c r="C566" s="14">
        <v>109.5</v>
      </c>
    </row>
    <row r="567" spans="2:3" x14ac:dyDescent="0.25">
      <c r="B567" s="14" t="s">
        <v>101</v>
      </c>
      <c r="C567" s="14">
        <v>67.400000000000006</v>
      </c>
    </row>
    <row r="568" spans="2:3" x14ac:dyDescent="0.25">
      <c r="B568" s="14" t="s">
        <v>102</v>
      </c>
      <c r="C568" s="14">
        <v>100.9</v>
      </c>
    </row>
    <row r="569" spans="2:3" x14ac:dyDescent="0.25">
      <c r="B569" s="14" t="s">
        <v>103</v>
      </c>
      <c r="C569" s="14">
        <v>89.5</v>
      </c>
    </row>
    <row r="570" spans="2:3" x14ac:dyDescent="0.25">
      <c r="B570" s="14" t="s">
        <v>104</v>
      </c>
      <c r="C570" s="14">
        <v>72.8</v>
      </c>
    </row>
    <row r="571" spans="2:3" x14ac:dyDescent="0.25">
      <c r="B571" s="14" t="s">
        <v>105</v>
      </c>
      <c r="C571" s="14">
        <v>64.5</v>
      </c>
    </row>
    <row r="572" spans="2:3" x14ac:dyDescent="0.25">
      <c r="B572" s="14" t="s">
        <v>106</v>
      </c>
      <c r="C572" s="14">
        <v>125.9</v>
      </c>
    </row>
    <row r="573" spans="2:3" x14ac:dyDescent="0.25">
      <c r="B573" s="14" t="s">
        <v>107</v>
      </c>
      <c r="C573" s="14">
        <v>63</v>
      </c>
    </row>
    <row r="574" spans="2:3" x14ac:dyDescent="0.25">
      <c r="B574" s="14" t="s">
        <v>108</v>
      </c>
      <c r="C574" s="14">
        <v>81.7</v>
      </c>
    </row>
    <row r="575" spans="2:3" x14ac:dyDescent="0.25">
      <c r="B575" s="14" t="s">
        <v>87</v>
      </c>
      <c r="C575" s="14">
        <v>112.1</v>
      </c>
    </row>
    <row r="576" spans="2:3" x14ac:dyDescent="0.25">
      <c r="B576" s="14" t="s">
        <v>109</v>
      </c>
      <c r="C576" s="14">
        <v>108.6</v>
      </c>
    </row>
    <row r="577" spans="2:3" x14ac:dyDescent="0.25">
      <c r="B577" s="14" t="s">
        <v>110</v>
      </c>
      <c r="C577" s="14">
        <v>56.7</v>
      </c>
    </row>
    <row r="578" spans="2:3" x14ac:dyDescent="0.25">
      <c r="B578" s="14" t="s">
        <v>111</v>
      </c>
      <c r="C578" s="14">
        <v>86</v>
      </c>
    </row>
    <row r="579" spans="2:3" x14ac:dyDescent="0.25">
      <c r="B579" s="14" t="s">
        <v>112</v>
      </c>
      <c r="C579" s="14">
        <v>52.6</v>
      </c>
    </row>
    <row r="580" spans="2:3" x14ac:dyDescent="0.25">
      <c r="B580" s="14" t="s">
        <v>113</v>
      </c>
      <c r="C580" s="14">
        <v>83.8</v>
      </c>
    </row>
    <row r="581" spans="2:3" x14ac:dyDescent="0.25">
      <c r="B581" s="14" t="s">
        <v>114</v>
      </c>
      <c r="C581" s="14">
        <v>69.8</v>
      </c>
    </row>
    <row r="582" spans="2:3" x14ac:dyDescent="0.25">
      <c r="B582" s="14" t="s">
        <v>85</v>
      </c>
      <c r="C582" s="14">
        <v>122.4</v>
      </c>
    </row>
    <row r="583" spans="2:3" x14ac:dyDescent="0.25">
      <c r="B583" s="14" t="s">
        <v>115</v>
      </c>
      <c r="C583" s="14">
        <v>125.5</v>
      </c>
    </row>
    <row r="584" spans="2:3" x14ac:dyDescent="0.25">
      <c r="B584" s="14" t="s">
        <v>116</v>
      </c>
      <c r="C584" s="14">
        <v>116.4</v>
      </c>
    </row>
    <row r="585" spans="2:3" x14ac:dyDescent="0.25">
      <c r="B585" s="14" t="s">
        <v>117</v>
      </c>
      <c r="C585" s="14">
        <v>166.1</v>
      </c>
    </row>
    <row r="586" spans="2:3" x14ac:dyDescent="0.25">
      <c r="B586" s="14" t="s">
        <v>118</v>
      </c>
      <c r="C586" s="32" t="s">
        <v>119</v>
      </c>
    </row>
    <row r="587" spans="2:3" x14ac:dyDescent="0.25">
      <c r="B587" s="14" t="s">
        <v>120</v>
      </c>
      <c r="C587" s="14">
        <v>149.5</v>
      </c>
    </row>
    <row r="588" spans="2:3" x14ac:dyDescent="0.25">
      <c r="B588" s="14" t="s">
        <v>121</v>
      </c>
      <c r="C588" s="14">
        <v>159.9</v>
      </c>
    </row>
    <row r="589" spans="2:3" x14ac:dyDescent="0.25">
      <c r="B589" s="14" t="s">
        <v>122</v>
      </c>
      <c r="C589" s="14">
        <v>55.6</v>
      </c>
    </row>
    <row r="590" spans="2:3" x14ac:dyDescent="0.25">
      <c r="B590" s="14" t="s">
        <v>123</v>
      </c>
      <c r="C590" s="14">
        <v>47.9</v>
      </c>
    </row>
    <row r="591" spans="2:3" x14ac:dyDescent="0.25">
      <c r="B591" s="14" t="s">
        <v>124</v>
      </c>
      <c r="C591" s="14">
        <v>49.8</v>
      </c>
    </row>
    <row r="592" spans="2:3" x14ac:dyDescent="0.25">
      <c r="B592" s="14" t="s">
        <v>125</v>
      </c>
      <c r="C592" s="14">
        <v>51.9</v>
      </c>
    </row>
    <row r="593" spans="2:3" x14ac:dyDescent="0.25">
      <c r="B593" s="14" t="s">
        <v>126</v>
      </c>
      <c r="C593" s="14">
        <v>52.7</v>
      </c>
    </row>
    <row r="594" spans="2:3" x14ac:dyDescent="0.25">
      <c r="B594" s="14" t="s">
        <v>127</v>
      </c>
      <c r="C594" s="14">
        <v>52</v>
      </c>
    </row>
    <row r="595" spans="2:3" x14ac:dyDescent="0.25">
      <c r="B595" s="14" t="s">
        <v>128</v>
      </c>
      <c r="C595" s="14">
        <v>52.1</v>
      </c>
    </row>
    <row r="596" spans="2:3" x14ac:dyDescent="0.25">
      <c r="B596" s="14" t="s">
        <v>129</v>
      </c>
      <c r="C596" s="14">
        <v>114.4</v>
      </c>
    </row>
    <row r="597" spans="2:3" x14ac:dyDescent="0.25">
      <c r="B597" s="14" t="s">
        <v>130</v>
      </c>
      <c r="C597" s="14">
        <v>110.8</v>
      </c>
    </row>
  </sheetData>
  <sheetProtection password="D792" sheet="1" selectLockedCells="1"/>
  <protectedRanges>
    <protectedRange sqref="B2 D2:F3 H2" name="Headings"/>
  </protectedRanges>
  <mergeCells count="9">
    <mergeCell ref="F25:F26"/>
    <mergeCell ref="G25:G26"/>
    <mergeCell ref="B42:G42"/>
    <mergeCell ref="D2:F2"/>
    <mergeCell ref="D3:F3"/>
    <mergeCell ref="B9:G9"/>
    <mergeCell ref="E19:F19"/>
    <mergeCell ref="E20:F20"/>
    <mergeCell ref="B22:G22"/>
  </mergeCells>
  <conditionalFormatting sqref="C6 F6 I10 I14:I18 F16:F18 I23 C34 I27:I31 I39 I43 C52:C53 C59 I59">
    <cfRule type="expression" dxfId="49" priority="10">
      <formula>$H$2="£ Sterling"</formula>
    </cfRule>
  </conditionalFormatting>
  <conditionalFormatting sqref="C6 F6 I10 I14:I18 F16:F18 I23 C34 I27:I31 I39 I43 C52:C53 C59 I59">
    <cfRule type="expression" dxfId="48" priority="9">
      <formula>$H$2="$ US Dollars"</formula>
    </cfRule>
  </conditionalFormatting>
  <conditionalFormatting sqref="C6 F6 I10 I14:I18 F16:F18 I23 C34 I27:I31 I39 I43 C52:C53 C59 I59">
    <cfRule type="expression" dxfId="47" priority="8">
      <formula>$H$2="€ Euros"</formula>
    </cfRule>
  </conditionalFormatting>
  <conditionalFormatting sqref="F15 C36 C39 C51 C60">
    <cfRule type="expression" dxfId="46" priority="5">
      <formula>$H$2="$ US Dollars"</formula>
    </cfRule>
    <cfRule type="expression" dxfId="45" priority="6">
      <formula>$H$2="£ Sterling"</formula>
    </cfRule>
    <cfRule type="expression" dxfId="44" priority="7">
      <formula>$H$2="€ Euros"</formula>
    </cfRule>
  </conditionalFormatting>
  <conditionalFormatting sqref="L12">
    <cfRule type="expression" dxfId="43" priority="4">
      <formula>$H$2="€ Euros"</formula>
    </cfRule>
  </conditionalFormatting>
  <conditionalFormatting sqref="C7">
    <cfRule type="expression" dxfId="42" priority="3">
      <formula>$H$2="£ Sterling"</formula>
    </cfRule>
  </conditionalFormatting>
  <conditionalFormatting sqref="C7">
    <cfRule type="expression" dxfId="41" priority="2">
      <formula>$H$2="$ US Dollars"</formula>
    </cfRule>
  </conditionalFormatting>
  <conditionalFormatting sqref="C7">
    <cfRule type="expression" dxfId="40" priority="1">
      <formula>$H$2="€ Euros"</formula>
    </cfRule>
  </conditionalFormatting>
  <dataValidations count="21">
    <dataValidation type="decimal" showInputMessage="1" showErrorMessage="1" prompt="Enter value between 0 and 20 for number of fixed staff supporting the facility i.e., even if no digitisation is occurring. Part FTE allowed." sqref="C16" xr:uid="{702B2787-4D80-4B91-8DBA-FE0A32EF91EC}">
      <formula1>0</formula1>
      <formula2>20</formula2>
    </dataValidation>
    <dataValidation type="decimal" allowBlank="1" showInputMessage="1" showErrorMessage="1" prompt="Enter depreciation period in years (straight line depreciation will be used)" sqref="C14" xr:uid="{7F83B938-6E94-49DC-BF8E-75FC0A488E28}">
      <formula1>1</formula1>
      <formula2>7</formula2>
    </dataValidation>
    <dataValidation allowBlank="1" showInputMessage="1" showErrorMessage="1" prompt="Enter room area of your digitisation facility" sqref="C15" xr:uid="{6BA1BA6F-E1E9-4A08-9EC2-302CB1C428EB}"/>
    <dataValidation allowBlank="1" showInputMessage="1" showErrorMessage="1" prompt="Enter monthly average gross salary for number of staff selected above" sqref="C34" xr:uid="{A037B198-E663-43BD-8632-FE9E187FD238}"/>
    <dataValidation allowBlank="1" showInputMessage="1" showErrorMessage="1" prompt="Number of hours in working week (change if necessary)" sqref="C35" xr:uid="{FD3DC0F0-451B-48DC-8F0D-7ABB253190CA}"/>
    <dataValidation allowBlank="1" showInputMessage="1" showErrorMessage="1" prompt="Only enter a value here if you do not know the split across the above 5 task clusters" sqref="F34" xr:uid="{7BFAA41D-E243-47CD-852D-53B427B64491}"/>
    <dataValidation allowBlank="1" showInputMessage="1" showErrorMessage="1" prompt="Enter in minutes. Add up for all persons involved. See Instructions sheet for explanation of the tasks_x000a_" sqref="F27:F31" xr:uid="{8357F9D7-6C23-4A5C-9AB3-BAE2BB8F2DE4}"/>
    <dataValidation allowBlank="1" showInputMessage="1" showErrorMessage="1" prompt="This cell not currently used" sqref="C17" xr:uid="{C327FC28-0606-4E61-9DB0-5424C581FD35}"/>
    <dataValidation type="list" allowBlank="1" showInputMessage="1" showErrorMessage="1" prompt="Choose type of workflow" sqref="B28" xr:uid="{449180D8-E5E1-41CF-9E24-C15CE4F5B5D8}">
      <formula1>$J$520:$J$523</formula1>
    </dataValidation>
    <dataValidation type="list" allowBlank="1" showInputMessage="1" showErrorMessage="1" prompt="Choose type of process" sqref="B29" xr:uid="{15AB14DD-7E0C-4EF9-A3B2-4AADA19B15C3}">
      <formula1>$M$520:$M$523</formula1>
    </dataValidation>
    <dataValidation type="list" allowBlank="1" showInputMessage="1" showErrorMessage="1" prompt="Select number of staff needed for digitisation (additional to number of fixed staff, above)" sqref="C33" xr:uid="{A1F412AB-AC32-4429-A788-11D947EC9FBF}">
      <formula1>$P$520:$P$532</formula1>
    </dataValidation>
    <dataValidation type="list" allowBlank="1" showInputMessage="1" showErrorMessage="1" prompt="Choose unit of digitisation" sqref="B30" xr:uid="{34DD4F09-1D31-4C66-842F-E3AA50A13852}">
      <formula1>$E$520:$E$524</formula1>
    </dataValidation>
    <dataValidation type="list" errorStyle="information" allowBlank="1" showInputMessage="1" prompt="Choose typical batch size (or enter own value)" sqref="C31" xr:uid="{2C22C483-84D7-4600-AA1A-FF6587C4EE84}">
      <formula1>$H$520:$H$530</formula1>
    </dataValidation>
    <dataValidation type="list" allowBlank="1" showInputMessage="1" showErrorMessage="1" prompt="Choose specimen category" sqref="B27" xr:uid="{E3F72A56-6DA6-4315-AC95-9C329451A0FB}">
      <formula1>$B$520:$B$530</formula1>
    </dataValidation>
    <dataValidation type="list" allowBlank="1" showInputMessage="1" prompt="Select your institution from the drop-down list, or enter if not listed" sqref="B2:B3" xr:uid="{DE69E9D8-FD52-4CC6-B882-FB96174C949E}">
      <formula1>$U$520:$U$527</formula1>
    </dataValidation>
    <dataValidation type="list" allowBlank="1" showInputMessage="1" showErrorMessage="1" prompt="Choose currency to use from dropdown list_x000a_" sqref="H2:H3" xr:uid="{50444BC5-D9C5-4B60-8B16-79AA4A09DCFB}">
      <formula1>$B$541:$B$544</formula1>
    </dataValidation>
    <dataValidation allowBlank="1" showInputMessage="1" showErrorMessage="1" prompt="If applicable, include costs of any upgrade(s) divided over the lifetimeof the digitisation facility e.g., if upgrade cost is €10,000 and lifetime is 5 years, enter €2,000." sqref="C18" xr:uid="{332BEEBD-560E-4459-A62D-442941321747}"/>
    <dataValidation allowBlank="1" showErrorMessage="1" sqref="B19" xr:uid="{BAE7CF16-C8D0-4665-838B-135DDC8161B4}"/>
    <dataValidation allowBlank="1" showInputMessage="1" showErrorMessage="1" prompt="Capital equipment costs include digitisation equipment, furniture, computers, etc." sqref="C6" xr:uid="{73273B26-AAC1-44D2-B201-552062399C63}"/>
    <dataValidation allowBlank="1" showInputMessage="1" showErrorMessage="1" prompt="Other costs are costs of procurement, making a room ready e.g., decorating, wiring, etc._x000a_" sqref="F6" xr:uid="{D0B62C83-B47A-4F9F-A60F-7B01BD4A5292}"/>
    <dataValidation allowBlank="1" showInputMessage="1" showErrorMessage="1" prompt="Include any equipment (capital) upgrade costs during lifetime of facility (but not annual maintenance contracts, licenses, etc.)" sqref="C7" xr:uid="{F88E49A6-C4A8-42CF-ABED-74C10029A3CB}"/>
  </dataValidations>
  <hyperlinks>
    <hyperlink ref="B553" r:id="rId1" xr:uid="{80DDE575-49FF-4E18-BB76-70FF5E46D9B9}"/>
  </hyperlinks>
  <pageMargins left="0.7" right="0.7" top="0.75" bottom="0.75" header="0.3" footer="0.3"/>
  <pageSetup paperSize="9" orientation="portrait" horizontalDpi="4294967293"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RBINS µCT</vt:lpstr>
      <vt:lpstr>RBINS Focus Stacking</vt:lpstr>
      <vt:lpstr>RBINS Photogrammetry &lt; 30 cm</vt:lpstr>
      <vt:lpstr>RBINS Photogrammetry &lt; 1 m</vt:lpstr>
      <vt:lpstr>RBINS Photogrammetry &gt; 1 m</vt:lpstr>
      <vt:lpstr>RBINS Structured Light &lt; 5 cm</vt:lpstr>
      <vt:lpstr>RBINS Structured Light 5-50 cm</vt:lpstr>
      <vt:lpstr>RBINS Structured Light 50-100cm</vt:lpstr>
      <vt:lpstr>RBINS Multispectral Imaging 2D</vt:lpstr>
      <vt:lpstr>RBINS Multispectral Imaging 3D</vt:lpstr>
      <vt:lpstr>RBINS Insect boxes 2D</vt:lpstr>
      <vt:lpstr>RBINS Microscope Slides</vt:lpstr>
      <vt:lpstr>RBINS Encoding 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Laurence Livermore</cp:lastModifiedBy>
  <cp:lastPrinted>2019-02-28T14:47:27Z</cp:lastPrinted>
  <dcterms:created xsi:type="dcterms:W3CDTF">2019-02-28T10:08:22Z</dcterms:created>
  <dcterms:modified xsi:type="dcterms:W3CDTF">2020-08-21T11:18:33Z</dcterms:modified>
</cp:coreProperties>
</file>